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nav.aggarwal\AppData\Local\Microsoft\Windows\INetCache\Content.Outlook\7N1X6YHT\"/>
    </mc:Choice>
  </mc:AlternateContent>
  <xr:revisionPtr revIDLastSave="0" documentId="8_{D36EA591-5196-4744-8DC1-A4DBBB85652C}" xr6:coauthVersionLast="47" xr6:coauthVersionMax="47" xr10:uidLastSave="{00000000-0000-0000-0000-000000000000}"/>
  <bookViews>
    <workbookView xWindow="-120" yWindow="-120" windowWidth="29040" windowHeight="15720" tabRatio="731" activeTab="6" xr2:uid="{00000000-000D-0000-FFFF-FFFF00000000}"/>
  </bookViews>
  <sheets>
    <sheet name="Balance Sheet" sheetId="3" r:id="rId1"/>
    <sheet name="Income Statement" sheetId="2" r:id="rId2"/>
    <sheet name="Cash Flow" sheetId="4" r:id="rId3"/>
    <sheet name="Adj. EBITDA and CFe" sheetId="12" r:id="rId4"/>
    <sheet name="Voting" sheetId="36" r:id="rId5"/>
    <sheet name="Total No of Shares Outstanding" sheetId="37" r:id="rId6"/>
    <sheet name="Project List" sheetId="38" r:id="rId7"/>
  </sheets>
  <definedNames>
    <definedName name="_xlnm._FilterDatabase" localSheetId="6" hidden="1">'Project List'!$B$2:$L$224</definedName>
    <definedName name="CIQWBGuid" hidden="1">"Capacity update_31.12.2020_v3.xlsx"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localSheetId="5" hidden="1">"12/14/2020 09:26:30"</definedName>
    <definedName name="IQ_NAMES_REVISION_DATE_" localSheetId="4" hidden="1">"12/14/2020 09:26:30"</definedName>
    <definedName name="IQ_NAMES_REVISION_DATE_" hidden="1">44167.2074537037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7" i="38" l="1"/>
  <c r="F174" i="38"/>
  <c r="F182" i="38"/>
  <c r="F68" i="38"/>
  <c r="F10" i="36"/>
  <c r="E10" i="36"/>
  <c r="D10" i="36"/>
  <c r="C9" i="36"/>
  <c r="I9" i="36" s="1"/>
  <c r="I8" i="36"/>
  <c r="G8" i="36"/>
  <c r="I7" i="36"/>
  <c r="G7" i="36"/>
  <c r="I6" i="36"/>
  <c r="G6" i="36"/>
  <c r="I5" i="36"/>
  <c r="G5" i="36"/>
  <c r="I4" i="36"/>
  <c r="G4" i="36"/>
  <c r="F225" i="38" l="1"/>
  <c r="G9" i="36"/>
  <c r="G10" i="36" s="1"/>
  <c r="C10" i="36"/>
  <c r="I10" i="36"/>
  <c r="J6" i="36" s="1"/>
  <c r="H8" i="36" l="1"/>
  <c r="H7" i="36"/>
  <c r="H4" i="36"/>
  <c r="H6" i="36"/>
  <c r="H5" i="36"/>
  <c r="H9" i="36"/>
  <c r="J5" i="36"/>
  <c r="J4" i="36"/>
  <c r="J9" i="36"/>
  <c r="J8" i="36"/>
  <c r="J7" i="36"/>
  <c r="H10" i="36" l="1"/>
  <c r="J10" i="36"/>
  <c r="C16" i="36" l="1"/>
  <c r="C17" i="37" l="1"/>
  <c r="C19" i="37" l="1"/>
  <c r="C10" i="37"/>
  <c r="C22" i="37" l="1"/>
  <c r="AS31" i="4" l="1"/>
  <c r="D52" i="3"/>
  <c r="D54" i="3" s="1"/>
  <c r="D51" i="3"/>
  <c r="D64" i="3" l="1"/>
  <c r="D75" i="3"/>
  <c r="D77" i="3" s="1"/>
  <c r="D35" i="3"/>
  <c r="D37" i="3" s="1"/>
  <c r="D24" i="3"/>
  <c r="D39" i="3" l="1"/>
  <c r="D78" i="3"/>
  <c r="D79" i="3" s="1"/>
  <c r="V19" i="12"/>
  <c r="V24" i="12" s="1"/>
  <c r="V31" i="12" s="1"/>
  <c r="AT92" i="4"/>
  <c r="AT79" i="4"/>
  <c r="AT53" i="4"/>
  <c r="AT31" i="4"/>
  <c r="AT33" i="4" s="1"/>
  <c r="AI15" i="2"/>
  <c r="AI26" i="2"/>
  <c r="C35" i="3"/>
  <c r="C24" i="3"/>
  <c r="AT81" i="4" l="1"/>
  <c r="AT84" i="4" s="1"/>
  <c r="AI28" i="2"/>
  <c r="AI30" i="2" s="1"/>
  <c r="AI36" i="2" s="1"/>
  <c r="U19" i="12" l="1"/>
  <c r="U24" i="12" s="1"/>
  <c r="U31" i="12" s="1"/>
  <c r="AY10" i="4"/>
  <c r="AZ10" i="4"/>
  <c r="BA10" i="4"/>
  <c r="BA31" i="4" s="1"/>
  <c r="BA33" i="4" s="1"/>
  <c r="BG33" i="4"/>
  <c r="AZ39" i="4"/>
  <c r="BA53" i="4"/>
  <c r="BG53" i="4"/>
  <c r="BA79" i="4"/>
  <c r="BG79" i="4"/>
  <c r="AZ81" i="4"/>
  <c r="AZ84" i="4" s="1"/>
  <c r="BA92" i="4"/>
  <c r="BG92" i="4"/>
  <c r="AR79" i="4"/>
  <c r="AR39" i="4"/>
  <c r="AR53" i="4" s="1"/>
  <c r="AR31" i="4"/>
  <c r="AR33" i="4" s="1"/>
  <c r="AR92" i="4"/>
  <c r="AT45" i="2"/>
  <c r="AS45" i="2"/>
  <c r="AR45" i="2"/>
  <c r="AU45" i="2"/>
  <c r="AV26" i="2"/>
  <c r="AV15" i="2"/>
  <c r="AG28" i="2"/>
  <c r="AG30" i="2" s="1"/>
  <c r="AG36" i="2" s="1"/>
  <c r="BA81" i="4" l="1"/>
  <c r="BA84" i="4" s="1"/>
  <c r="AR81" i="4"/>
  <c r="AR84" i="4" s="1"/>
  <c r="BG81" i="4"/>
  <c r="BG84" i="4" s="1"/>
  <c r="AN92" i="4"/>
  <c r="AN79" i="4"/>
  <c r="AN31" i="4"/>
  <c r="AN33" i="4" s="1"/>
  <c r="AS79" i="4" l="1"/>
  <c r="AS33" i="4"/>
  <c r="AS92" i="4"/>
  <c r="AS49" i="4"/>
  <c r="AS53" i="4" s="1"/>
  <c r="AS81" i="4" l="1"/>
  <c r="AS84" i="4" s="1"/>
  <c r="AJ19" i="12"/>
  <c r="AJ31" i="12" s="1"/>
  <c r="AH26" i="2" l="1"/>
  <c r="AH15" i="2"/>
  <c r="C75" i="3"/>
  <c r="C77" i="3" s="1"/>
  <c r="C64" i="3"/>
  <c r="C52" i="3"/>
  <c r="C54" i="3" s="1"/>
  <c r="C37" i="3"/>
  <c r="C39" i="3" s="1"/>
  <c r="C78" i="3" l="1"/>
  <c r="C79" i="3" s="1"/>
  <c r="AH28" i="2"/>
  <c r="AH30" i="2" s="1"/>
  <c r="AH36" i="2" s="1"/>
  <c r="AE19" i="12"/>
  <c r="AE24" i="12" s="1"/>
  <c r="AE31" i="12" s="1"/>
  <c r="T19" i="12"/>
  <c r="T24" i="12" s="1"/>
  <c r="T31" i="12" s="1"/>
  <c r="AQ49" i="4"/>
  <c r="AQ53" i="4" s="1"/>
  <c r="AQ92" i="4"/>
  <c r="AQ79" i="4"/>
  <c r="AQ10" i="4"/>
  <c r="AQ31" i="4" s="1"/>
  <c r="AQ33" i="4" s="1"/>
  <c r="E75" i="3"/>
  <c r="E77" i="3" s="1"/>
  <c r="E64" i="3"/>
  <c r="E36" i="3"/>
  <c r="E35" i="3"/>
  <c r="E24" i="3"/>
  <c r="E39" i="3" s="1"/>
  <c r="AF26" i="2"/>
  <c r="AF15" i="2"/>
  <c r="AV28" i="2"/>
  <c r="AF28" i="2" l="1"/>
  <c r="AF30" i="2" s="1"/>
  <c r="AF36" i="2" s="1"/>
  <c r="E78" i="3"/>
  <c r="E79" i="3" s="1"/>
  <c r="AQ81" i="4"/>
  <c r="AQ84" i="4" s="1"/>
  <c r="S19" i="12" l="1"/>
  <c r="AA19" i="12" l="1"/>
  <c r="AA24" i="12" s="1"/>
  <c r="AA31" i="12" s="1"/>
  <c r="S24" i="12"/>
  <c r="S31" i="12" s="1"/>
  <c r="AP92" i="4" l="1"/>
  <c r="AP79" i="4"/>
  <c r="AP53" i="4"/>
  <c r="AP10" i="4"/>
  <c r="AP31" i="4" s="1"/>
  <c r="AP33" i="4" s="1"/>
  <c r="AE26" i="2"/>
  <c r="AE15" i="2"/>
  <c r="AP36" i="2"/>
  <c r="AP26" i="2"/>
  <c r="AP15" i="2"/>
  <c r="F75" i="3"/>
  <c r="F77" i="3" s="1"/>
  <c r="F64" i="3"/>
  <c r="F52" i="3"/>
  <c r="F54" i="3" s="1"/>
  <c r="F35" i="3"/>
  <c r="F37" i="3" s="1"/>
  <c r="F24" i="3"/>
  <c r="AP28" i="2" l="1"/>
  <c r="F78" i="3"/>
  <c r="F79" i="3" s="1"/>
  <c r="AE28" i="2"/>
  <c r="AE30" i="2" s="1"/>
  <c r="AE36" i="2" s="1"/>
  <c r="F39" i="3"/>
  <c r="AP81" i="4"/>
  <c r="AP84" i="4" s="1"/>
  <c r="H73" i="3" l="1"/>
  <c r="H61" i="3"/>
  <c r="H21" i="3"/>
  <c r="H13" i="3"/>
  <c r="AO10" i="4"/>
  <c r="AO39" i="4"/>
  <c r="R19" i="12" l="1"/>
  <c r="R24" i="12" s="1"/>
  <c r="R31" i="12" s="1"/>
  <c r="G52" i="3"/>
  <c r="G37" i="3"/>
  <c r="G77" i="3"/>
  <c r="G78" i="3" l="1"/>
  <c r="G79" i="3" s="1"/>
  <c r="G39" i="3"/>
  <c r="AM84" i="4" l="1"/>
  <c r="AM81" i="4"/>
  <c r="AM79" i="4"/>
  <c r="AN81" i="4"/>
  <c r="AN84" i="4" s="1"/>
  <c r="I72" i="3"/>
  <c r="I52" i="3"/>
  <c r="I35" i="3"/>
  <c r="I24" i="3"/>
  <c r="H74" i="3"/>
  <c r="H72" i="3"/>
  <c r="H58" i="3"/>
  <c r="H64" i="3" s="1"/>
  <c r="H32" i="3"/>
  <c r="H35" i="3" s="1"/>
  <c r="H19" i="3"/>
  <c r="AI19" i="12"/>
  <c r="AI24" i="12" s="1"/>
  <c r="AI31" i="12" s="1"/>
  <c r="Q19" i="12"/>
  <c r="Q24" i="12" s="1"/>
  <c r="Q31" i="12" s="1"/>
  <c r="AN39" i="4"/>
  <c r="AN53" i="4" s="1"/>
  <c r="H75" i="3" l="1"/>
  <c r="H77" i="3" s="1"/>
  <c r="W45" i="2"/>
  <c r="X45" i="2"/>
  <c r="I75" i="3"/>
  <c r="I77" i="3" s="1"/>
  <c r="I64" i="3"/>
  <c r="I54" i="3"/>
  <c r="H52" i="3"/>
  <c r="H54" i="3" s="1"/>
  <c r="I37" i="3"/>
  <c r="I39" i="3" s="1"/>
  <c r="H37" i="3"/>
  <c r="H24" i="3"/>
  <c r="I78" i="3" l="1"/>
  <c r="I79" i="3" s="1"/>
  <c r="H78" i="3"/>
  <c r="H79" i="3" s="1"/>
  <c r="H39" i="3"/>
  <c r="AD24" i="12" l="1"/>
  <c r="P24" i="12"/>
  <c r="AK39" i="4" l="1"/>
  <c r="AK10" i="4"/>
  <c r="AA10" i="4" l="1"/>
  <c r="AF10" i="4"/>
  <c r="V53" i="4" l="1"/>
  <c r="V33" i="4"/>
  <c r="V31" i="4"/>
  <c r="AE10" i="4"/>
  <c r="AC1" i="4" l="1"/>
  <c r="F18" i="12" l="1"/>
  <c r="E18" i="12"/>
  <c r="S1" i="4"/>
  <c r="T1" i="4"/>
  <c r="U1" i="4"/>
  <c r="V1" i="4"/>
  <c r="AB1" i="4"/>
  <c r="C4" i="4" l="1"/>
  <c r="D4" i="4" s="1"/>
  <c r="E4" i="4" s="1"/>
  <c r="I28" i="2"/>
  <c r="I30" i="2" s="1"/>
  <c r="I36" i="2" s="1"/>
  <c r="X1" i="4"/>
  <c r="W1" i="4"/>
  <c r="AA1" i="4" l="1"/>
  <c r="Z1" i="4" l="1"/>
</calcChain>
</file>

<file path=xl/sharedStrings.xml><?xml version="1.0" encoding="utf-8"?>
<sst xmlns="http://schemas.openxmlformats.org/spreadsheetml/2006/main" count="2110" uniqueCount="613">
  <si>
    <t>(Amounts in INR millions, unless otherwise stated)</t>
  </si>
  <si>
    <t>Assets</t>
  </si>
  <si>
    <t>Non-current assets</t>
  </si>
  <si>
    <t>Property, plant and equipment</t>
  </si>
  <si>
    <t>Intangible assets</t>
  </si>
  <si>
    <t>Right of use assets</t>
  </si>
  <si>
    <t>Investment in jointly controlled entities</t>
  </si>
  <si>
    <t xml:space="preserve">Financial assets </t>
  </si>
  <si>
    <t>Investments</t>
  </si>
  <si>
    <t>Trade receivables</t>
  </si>
  <si>
    <t>Loans</t>
  </si>
  <si>
    <t>Others</t>
  </si>
  <si>
    <t>Deferred tax assets (net)</t>
  </si>
  <si>
    <t>Prepayments</t>
  </si>
  <si>
    <t>Non-current tax assets (net)</t>
  </si>
  <si>
    <t>Other non-current assets</t>
  </si>
  <si>
    <t>Total non-current assets</t>
  </si>
  <si>
    <t>Current assets</t>
  </si>
  <si>
    <t>Inventories</t>
  </si>
  <si>
    <t>Financial assets</t>
  </si>
  <si>
    <t>Derivative instruments</t>
  </si>
  <si>
    <t>Cash and cash equivalents</t>
  </si>
  <si>
    <t>Bank balances other than cash and cash equivalents</t>
  </si>
  <si>
    <t>Other current assets</t>
  </si>
  <si>
    <t>Assets held for sale</t>
  </si>
  <si>
    <t>Total current assets</t>
  </si>
  <si>
    <t>Total assets</t>
  </si>
  <si>
    <t>Equity and liabilities</t>
  </si>
  <si>
    <t>Equity</t>
  </si>
  <si>
    <t>Issued capital</t>
  </si>
  <si>
    <t>Share premium</t>
  </si>
  <si>
    <t>Hedge reserve</t>
  </si>
  <si>
    <t>Share based payment reserve</t>
  </si>
  <si>
    <t>Other components of equity</t>
  </si>
  <si>
    <t>Equity attributable to equity holders of the parent</t>
  </si>
  <si>
    <t>Non-controlling interests</t>
  </si>
  <si>
    <t>Total equity</t>
  </si>
  <si>
    <t>Non-current liabilities</t>
  </si>
  <si>
    <t>Financial liabilities</t>
  </si>
  <si>
    <t>Interest-bearing loans and borrowings</t>
  </si>
  <si>
    <t>Lease liabilities</t>
  </si>
  <si>
    <t>Deferred government grant</t>
  </si>
  <si>
    <t>Employee benefit liabilities</t>
  </si>
  <si>
    <t>Contract liabilities</t>
  </si>
  <si>
    <t>Provisions</t>
  </si>
  <si>
    <t>Deferred tax liabilities (net)</t>
  </si>
  <si>
    <t>Other non-current liabilities</t>
  </si>
  <si>
    <t>Total non-current liabilities</t>
  </si>
  <si>
    <t>Current liabilities</t>
  </si>
  <si>
    <t>Trade payables</t>
  </si>
  <si>
    <t>Outstanding dues to micro enterprises and small enterprises</t>
  </si>
  <si>
    <t>Other current liabilities</t>
  </si>
  <si>
    <t>Current tax liabilities (net)</t>
  </si>
  <si>
    <t>Total current liabilities</t>
  </si>
  <si>
    <t>Total liabilities</t>
  </si>
  <si>
    <t>Total equity and liabilities</t>
  </si>
  <si>
    <t>Income</t>
  </si>
  <si>
    <t>Other operating income</t>
  </si>
  <si>
    <t>Other income</t>
  </si>
  <si>
    <t>Total income</t>
  </si>
  <si>
    <t>Expenses</t>
  </si>
  <si>
    <t>Raw materials and consumables used</t>
  </si>
  <si>
    <t>Employee benefits expense</t>
  </si>
  <si>
    <t>Depreciation and amortisation</t>
  </si>
  <si>
    <t>Other expenses</t>
  </si>
  <si>
    <t>Total expenses</t>
  </si>
  <si>
    <t>(Loss) / profit before share of profit of jointly controlled entities and tax</t>
  </si>
  <si>
    <t>(Loss) / profit before tax</t>
  </si>
  <si>
    <t>Income tax expense</t>
  </si>
  <si>
    <t>Current tax</t>
  </si>
  <si>
    <t>Deferred tax</t>
  </si>
  <si>
    <t>Adjustment of current tax relating to earlier years</t>
  </si>
  <si>
    <t>Cash flows from operating activities</t>
  </si>
  <si>
    <t>Adjustments to reconcile profit before tax to net cash flows:</t>
  </si>
  <si>
    <t>Working capital adjustments:</t>
  </si>
  <si>
    <t>(Increase) / decrease in other non-current financial assets</t>
  </si>
  <si>
    <t>Cash generated from operations</t>
  </si>
  <si>
    <t>Cash flows from investing activities</t>
  </si>
  <si>
    <t>Purchase of property, plant and equipment, intangible assets and right of use assets</t>
  </si>
  <si>
    <t>Acquisition of subsidiary, net of cash acquired</t>
  </si>
  <si>
    <t>Government grant received</t>
  </si>
  <si>
    <t>Proceeds from interest received</t>
  </si>
  <si>
    <t>Cash flows from financing activities</t>
  </si>
  <si>
    <t>Payment of lease liabilities (including payment of interest expense)</t>
  </si>
  <si>
    <t>Payment made for repurchase of vested stock options</t>
  </si>
  <si>
    <t>Proceeds from long term interest-bearing loans and borrowings</t>
  </si>
  <si>
    <t>Repayment of long term interest-bearing loans and borrowings</t>
  </si>
  <si>
    <t>Proceeds from short term interest-bearing loans and borrowings</t>
  </si>
  <si>
    <t>Repayment of short term interest-bearing loans and borrowings</t>
  </si>
  <si>
    <t>Interest paid</t>
  </si>
  <si>
    <t>Components of cash and cash equivalents</t>
  </si>
  <si>
    <t>Cash and cheque on hand</t>
  </si>
  <si>
    <t>Balances with banks:</t>
  </si>
  <si>
    <t xml:space="preserve"> - On current accounts</t>
  </si>
  <si>
    <t xml:space="preserve"> - Deposits with original maturity of less than 3 months</t>
  </si>
  <si>
    <t>Total cash and cash equivalents</t>
  </si>
  <si>
    <t>Particulars</t>
  </si>
  <si>
    <t>Total</t>
  </si>
  <si>
    <t>Category</t>
  </si>
  <si>
    <t>Type</t>
  </si>
  <si>
    <t>Status</t>
  </si>
  <si>
    <t>Project</t>
  </si>
  <si>
    <t>Capacity (MW)</t>
  </si>
  <si>
    <t>Location</t>
  </si>
  <si>
    <t>Wind</t>
  </si>
  <si>
    <t>Commissioned</t>
  </si>
  <si>
    <t>Jasdan</t>
  </si>
  <si>
    <t>Gujarat</t>
  </si>
  <si>
    <t>Maharashtra</t>
  </si>
  <si>
    <t>Vaspet-I</t>
  </si>
  <si>
    <t>MSEDCL</t>
  </si>
  <si>
    <t>Rajasthan</t>
  </si>
  <si>
    <t>Bakhrani</t>
  </si>
  <si>
    <t>JVVNL</t>
  </si>
  <si>
    <t>Telangana</t>
  </si>
  <si>
    <t>Tadas</t>
  </si>
  <si>
    <t>Karnataka</t>
  </si>
  <si>
    <t>3rd Party</t>
  </si>
  <si>
    <t>Jogihalli</t>
  </si>
  <si>
    <t>Ron</t>
  </si>
  <si>
    <t>Jamb</t>
  </si>
  <si>
    <t>Chikodi</t>
  </si>
  <si>
    <t>Jath</t>
  </si>
  <si>
    <t>Vaspet-II &amp; III</t>
  </si>
  <si>
    <t>Ellutala</t>
  </si>
  <si>
    <t>APSPDCL</t>
  </si>
  <si>
    <t xml:space="preserve">Welturi-I </t>
  </si>
  <si>
    <t>Budh-I</t>
  </si>
  <si>
    <t>Welturi-II</t>
  </si>
  <si>
    <t>Vaspet-IV</t>
  </si>
  <si>
    <t>Dangri</t>
  </si>
  <si>
    <t>AVVNL</t>
  </si>
  <si>
    <t>Nipaniya</t>
  </si>
  <si>
    <t>MPPMCL</t>
  </si>
  <si>
    <t>Pratapgarh</t>
  </si>
  <si>
    <t>JVVNL, AVVNL</t>
  </si>
  <si>
    <t>Mandsaur</t>
  </si>
  <si>
    <t>Rajgarh</t>
  </si>
  <si>
    <t>Bhesada</t>
  </si>
  <si>
    <t>Lingasugur</t>
  </si>
  <si>
    <t>Kod and Limbwas</t>
  </si>
  <si>
    <t>Vinjalpur</t>
  </si>
  <si>
    <t>GUVNL</t>
  </si>
  <si>
    <t>Batkurki</t>
  </si>
  <si>
    <t>HESCOM</t>
  </si>
  <si>
    <t>Bableshwar</t>
  </si>
  <si>
    <t>Sadla</t>
  </si>
  <si>
    <t>Veerabhadra</t>
  </si>
  <si>
    <t xml:space="preserve">APSPDCL </t>
  </si>
  <si>
    <t>Amba-1</t>
  </si>
  <si>
    <t>Amba-2</t>
  </si>
  <si>
    <t>Patan</t>
  </si>
  <si>
    <t>Limbwas 2</t>
  </si>
  <si>
    <t>KCT Gamesa 40 Molagavalli</t>
  </si>
  <si>
    <t>KCTGE 39.1 Molagavalli</t>
  </si>
  <si>
    <t>KCT Gamesa 24 Kalyandurg</t>
  </si>
  <si>
    <t>Lahori</t>
  </si>
  <si>
    <t>Molagavalli</t>
  </si>
  <si>
    <t>Ostro - Tejuva</t>
  </si>
  <si>
    <t>Ostro - Rajgarh</t>
  </si>
  <si>
    <t>Ostro - Lahori</t>
  </si>
  <si>
    <t>Ostro - Amba</t>
  </si>
  <si>
    <t>Ostro - Nimbagallu</t>
  </si>
  <si>
    <t>Ostro - Sattegiri</t>
  </si>
  <si>
    <t>Ostro - Ralla Andhra</t>
  </si>
  <si>
    <t>Ostro - Ralla AP</t>
  </si>
  <si>
    <t>Ostro - AVP Dewas</t>
  </si>
  <si>
    <t>Ostro - Badoni Dewas</t>
  </si>
  <si>
    <t>SECI II</t>
  </si>
  <si>
    <t>SECI</t>
  </si>
  <si>
    <t>Ostro - Kutch (SECI 1)</t>
  </si>
  <si>
    <t>PTC</t>
  </si>
  <si>
    <t>Ostro - Taralkatti</t>
  </si>
  <si>
    <t>GESCOM</t>
  </si>
  <si>
    <t>Bableshwar 2</t>
  </si>
  <si>
    <t>BESCOM</t>
  </si>
  <si>
    <t>Bapuram</t>
  </si>
  <si>
    <t>Nirlooti</t>
  </si>
  <si>
    <t>HESCOM, GESCOM</t>
  </si>
  <si>
    <t>Borampalli</t>
  </si>
  <si>
    <t>MSEDCL Bid</t>
  </si>
  <si>
    <t>SREI</t>
  </si>
  <si>
    <t>20-25</t>
  </si>
  <si>
    <t>Solar</t>
  </si>
  <si>
    <t>Sheopur</t>
  </si>
  <si>
    <t>Adoni</t>
  </si>
  <si>
    <t>Cumbum</t>
  </si>
  <si>
    <t>Mehbubnagar -1</t>
  </si>
  <si>
    <t>TSSPDCL</t>
  </si>
  <si>
    <t>Sadashivpet</t>
  </si>
  <si>
    <t>MPSolar II</t>
  </si>
  <si>
    <t>Dichipally</t>
  </si>
  <si>
    <t>TSNPDCL</t>
  </si>
  <si>
    <t>Mandamarri</t>
  </si>
  <si>
    <t>Minpur</t>
  </si>
  <si>
    <t>Mulkanoor</t>
  </si>
  <si>
    <t>Alland</t>
  </si>
  <si>
    <t>Bhalki</t>
  </si>
  <si>
    <t>Siruguppa</t>
  </si>
  <si>
    <t>Humnabad</t>
  </si>
  <si>
    <t>Devdurga</t>
  </si>
  <si>
    <t>MESCOM</t>
  </si>
  <si>
    <t>Honnali</t>
  </si>
  <si>
    <t>Turuvekere</t>
  </si>
  <si>
    <t>Yadgir</t>
  </si>
  <si>
    <t>Mahbubnagar 2</t>
  </si>
  <si>
    <t>NTPC</t>
  </si>
  <si>
    <t>Ittigi</t>
  </si>
  <si>
    <t>08-10 years</t>
  </si>
  <si>
    <t>Raichur</t>
  </si>
  <si>
    <t>08-12 years</t>
  </si>
  <si>
    <t>Pavagada</t>
  </si>
  <si>
    <t>Ostro - Wanaparthy</t>
  </si>
  <si>
    <t>Ostro - Rajasthan</t>
  </si>
  <si>
    <t>VS- Lexicon</t>
  </si>
  <si>
    <t>VS- Symphony</t>
  </si>
  <si>
    <t>VS-Star Solar</t>
  </si>
  <si>
    <t>RREC</t>
  </si>
  <si>
    <t>VS-Sun Gold</t>
  </si>
  <si>
    <t>Charanka</t>
  </si>
  <si>
    <t>Wadgare</t>
  </si>
  <si>
    <t>Nirna</t>
  </si>
  <si>
    <t>Ladha</t>
  </si>
  <si>
    <t>Bhadla</t>
  </si>
  <si>
    <t>TN 100</t>
  </si>
  <si>
    <t>TANGEDCO</t>
  </si>
  <si>
    <t>MESCOM, BESCOM, GESCOM, CESC</t>
  </si>
  <si>
    <t>Mah Ph I</t>
  </si>
  <si>
    <t>Under Development</t>
  </si>
  <si>
    <t>SECI Raj</t>
  </si>
  <si>
    <t>SECI IV</t>
  </si>
  <si>
    <t>SECI IX</t>
  </si>
  <si>
    <t>Shares (#)</t>
  </si>
  <si>
    <t>Class A Shares</t>
  </si>
  <si>
    <t>Class B Shares</t>
  </si>
  <si>
    <t>Class C Shares</t>
  </si>
  <si>
    <t>Class D Shares</t>
  </si>
  <si>
    <t>Total Outstanding Shares</t>
  </si>
  <si>
    <t>Class A Shares (existing)</t>
  </si>
  <si>
    <t>Class A Shares to be issued to CPP Investments</t>
  </si>
  <si>
    <t>Class C Shares (existing)</t>
  </si>
  <si>
    <t>Total Diluted Shares</t>
  </si>
  <si>
    <t>Hydro</t>
  </si>
  <si>
    <r>
      <t>Tariff (INR/kWh)</t>
    </r>
    <r>
      <rPr>
        <b/>
        <vertAlign val="superscript"/>
        <sz val="9"/>
        <color rgb="FFFFFFFF"/>
        <rFont val="Arial"/>
        <family val="2"/>
      </rPr>
      <t>(1)</t>
    </r>
  </si>
  <si>
    <r>
      <t>Offtaker</t>
    </r>
    <r>
      <rPr>
        <b/>
        <vertAlign val="superscript"/>
        <sz val="9"/>
        <color rgb="FFFFFFFF"/>
        <rFont val="Arial"/>
        <family val="2"/>
      </rPr>
      <t>(2)</t>
    </r>
  </si>
  <si>
    <t>PPA Tenure at CoD</t>
  </si>
  <si>
    <t>Andhra Pradesh</t>
  </si>
  <si>
    <t>Madhya Pradesh</t>
  </si>
  <si>
    <t>Utility scale wind energy projects</t>
  </si>
  <si>
    <t>Utility scale solar energy projects</t>
  </si>
  <si>
    <t>Utility scale firm power projects</t>
  </si>
  <si>
    <t>(Unaudited)</t>
  </si>
  <si>
    <t>(Audited)</t>
  </si>
  <si>
    <t>Retained losses</t>
  </si>
  <si>
    <t>ReNew Energy Global Plc</t>
  </si>
  <si>
    <t>(Decrease) / increase in employee benefit liabilities</t>
  </si>
  <si>
    <t xml:space="preserve">Net cash generated from operating activities                                                                          </t>
  </si>
  <si>
    <t>(a)</t>
  </si>
  <si>
    <t>(b)</t>
  </si>
  <si>
    <t>Acquisition of interest by non-controlling interest in subsidiaries</t>
  </si>
  <si>
    <t>Payment for acquisition of interest from non-controlling interest</t>
  </si>
  <si>
    <t>(c)</t>
  </si>
  <si>
    <t>(a) + (b) + (c)</t>
  </si>
  <si>
    <t>Cash and cash equivalents at the beginning of the period</t>
  </si>
  <si>
    <t>Cash and cash equivalents at the end of the period</t>
  </si>
  <si>
    <t>Net increase / (decrease) in cash and cash equivalents</t>
  </si>
  <si>
    <t>Income tax (paid) / (refund) (net)</t>
  </si>
  <si>
    <t>Proceeds from disposal of subsidiary's interest to non-controlling interest</t>
  </si>
  <si>
    <t>Loan from related parties</t>
  </si>
  <si>
    <t>Redemption / (investments) in deposits having residual maturity more than 3 months (net)</t>
  </si>
  <si>
    <t>(Loss) / profit for the period</t>
  </si>
  <si>
    <t>(Increase) / decrease in trade receivables</t>
  </si>
  <si>
    <t>(Increase) / decrease in inventories</t>
  </si>
  <si>
    <t>(Increase) / decrease in other current financial assets</t>
  </si>
  <si>
    <t>(Increase) / decrease in other current assets</t>
  </si>
  <si>
    <t>(Increase) / decrease in other non-current assets</t>
  </si>
  <si>
    <t>(Increase) / decrease in prepayments</t>
  </si>
  <si>
    <t>(Decrease) / increase in other current financial liabilities</t>
  </si>
  <si>
    <t>(Decrease) / increase in other current liabilities</t>
  </si>
  <si>
    <t>(Decrease) / increase in other non-current liabilities</t>
  </si>
  <si>
    <t>(Decrease) / increase in contract liabilities</t>
  </si>
  <si>
    <t>(Decrease) / increase in trade payables</t>
  </si>
  <si>
    <t>(Decrease) / increase in provisions</t>
  </si>
  <si>
    <t>Net cash (used in) / generated from investing activities</t>
  </si>
  <si>
    <t xml:space="preserve">Net cash (used in) / generated from financing activities                                                                          </t>
  </si>
  <si>
    <t>Six month ended
September 30, 2021</t>
  </si>
  <si>
    <t>Six month ended
September 30, 2020</t>
  </si>
  <si>
    <t>Six months ended
September 30, 2021</t>
  </si>
  <si>
    <t>Six months ended
September 30, 2020</t>
  </si>
  <si>
    <t>Investment in mutual funds redeemed</t>
  </si>
  <si>
    <t>Purchase consideration paid</t>
  </si>
  <si>
    <t>Proceeds from issue of equity shares (including premium and net of share issue expenses)</t>
  </si>
  <si>
    <t>Proceeds from compulsory convertible preference shares</t>
  </si>
  <si>
    <t>Sale of property, plant and equipment and intangible assets</t>
  </si>
  <si>
    <t>Disposal of subsidiary, net of cash disposed</t>
  </si>
  <si>
    <t>Cash acquired on acquisition of control in jointly controlled entities</t>
  </si>
  <si>
    <t>Consolidated statement of financial position</t>
  </si>
  <si>
    <t>Three months ended
September 30, 2020</t>
  </si>
  <si>
    <t>Consolidated statement of cash flows</t>
  </si>
  <si>
    <t>Three months ended
September 30, 2021</t>
  </si>
  <si>
    <t>Three months ended
June 30, 2021</t>
  </si>
  <si>
    <t>Three months ended
June 30, 2020</t>
  </si>
  <si>
    <t>Three months ended December 31, 2020</t>
  </si>
  <si>
    <t>Three months ended 
March 31, 2021</t>
  </si>
  <si>
    <t>Three months ended March 31, 2021</t>
  </si>
  <si>
    <t>Payment for acquisition of subsidiary's interest from non-controlling interest</t>
  </si>
  <si>
    <t>Three months ended June 30, 2021</t>
  </si>
  <si>
    <t>Three months ended June 30, 2020</t>
  </si>
  <si>
    <t>Consolidated statement of profit or loss</t>
  </si>
  <si>
    <t>Change in fair value of warrants</t>
  </si>
  <si>
    <t>Earnings / (loss) per share</t>
  </si>
  <si>
    <t>Liability for put options with non-controlling interests</t>
  </si>
  <si>
    <t>Listing and related expenses</t>
  </si>
  <si>
    <t>Liabilities directly associated with the assets held for sale</t>
  </si>
  <si>
    <t>Nine month ended
December 31, 2021</t>
  </si>
  <si>
    <t>Nine month ended
December 31, 2020</t>
  </si>
  <si>
    <t>Three months ended December 31, 2021</t>
  </si>
  <si>
    <t>Loans given</t>
  </si>
  <si>
    <t>Distribution / cash paid to RPPL’s equity holders</t>
  </si>
  <si>
    <t>Less: Finance income</t>
  </si>
  <si>
    <t>Less: Raw materials and consumables used</t>
  </si>
  <si>
    <t>Less: Employee benefits expense</t>
  </si>
  <si>
    <t>Less: Other expenses</t>
  </si>
  <si>
    <t>Add: Share based payment expense and others related to listing</t>
  </si>
  <si>
    <t>Adjusted EBITDA</t>
  </si>
  <si>
    <t>Less:- Share based payments expense (cash settled) and others</t>
  </si>
  <si>
    <t>Add:- Finance income</t>
  </si>
  <si>
    <t>Less:- Interest paid in cash</t>
  </si>
  <si>
    <t>Less:- Tax paid / (refund)</t>
  </si>
  <si>
    <t>Less:- Normalised loan repayment</t>
  </si>
  <si>
    <t>Add:- Other non cash items</t>
  </si>
  <si>
    <t>Total CFe</t>
  </si>
  <si>
    <t>(a) Reconciliation of Total Income to Adjusted EBITDA</t>
  </si>
  <si>
    <t>(b) Cash flows to Equity (CFe):</t>
  </si>
  <si>
    <t>Adjusted EBITDA and Cash flows to Equity</t>
  </si>
  <si>
    <t>Shareholding without warrant dilution</t>
  </si>
  <si>
    <t>Investors</t>
  </si>
  <si>
    <t>Class A</t>
  </si>
  <si>
    <t xml:space="preserve">Class B </t>
  </si>
  <si>
    <t>Class C</t>
  </si>
  <si>
    <t>Class D</t>
  </si>
  <si>
    <t>Total economic shareholding</t>
  </si>
  <si>
    <t>% economic shareholding</t>
  </si>
  <si>
    <t>Total voting shareholding</t>
  </si>
  <si>
    <t>% voting shareholding</t>
  </si>
  <si>
    <t>GS</t>
  </si>
  <si>
    <t>CPPIB</t>
  </si>
  <si>
    <t>ADIA</t>
  </si>
  <si>
    <t>JERA</t>
  </si>
  <si>
    <t xml:space="preserve">Equivalent Outstanding Beneficial Shares </t>
  </si>
  <si>
    <t>1. Includes GEF SACEF</t>
  </si>
  <si>
    <t>SECI RAJ IV</t>
  </si>
  <si>
    <t>PSPCL</t>
  </si>
  <si>
    <t>Welturi</t>
  </si>
  <si>
    <t>Bandarwada</t>
  </si>
  <si>
    <t>Three months ended 
March 31, 2022</t>
  </si>
  <si>
    <t>Three months ended March 31, 2022</t>
  </si>
  <si>
    <t>Others (includes current maturities of long term interest-bearing loans and borrowings)</t>
  </si>
  <si>
    <t>Finance costs and fair value change in derivative instruments</t>
  </si>
  <si>
    <t>Effects of exchange rate changes on cash and cash equivalents</t>
  </si>
  <si>
    <t>Capital transaction involving issue of shares (net of transaction cost)</t>
  </si>
  <si>
    <t>As at 
30 June 2022</t>
  </si>
  <si>
    <t>Three months ended
June 30, 2022</t>
  </si>
  <si>
    <t>Three months ended June 30, 2022</t>
  </si>
  <si>
    <t>Deferred consideration received during the period</t>
  </si>
  <si>
    <t>Less: Change in fair value of warrants</t>
  </si>
  <si>
    <t>JdVVNL</t>
  </si>
  <si>
    <t>Corporate wind energy projects</t>
  </si>
  <si>
    <r>
      <t>Babaria</t>
    </r>
    <r>
      <rPr>
        <vertAlign val="superscript"/>
        <sz val="9"/>
        <color rgb="FF000000"/>
        <rFont val="Arial"/>
        <family val="2"/>
      </rPr>
      <t>(7)</t>
    </r>
  </si>
  <si>
    <r>
      <t>Otha</t>
    </r>
    <r>
      <rPr>
        <vertAlign val="superscript"/>
        <sz val="9"/>
        <color rgb="FF000000"/>
        <rFont val="Arial"/>
        <family val="2"/>
      </rPr>
      <t>(7)</t>
    </r>
  </si>
  <si>
    <t>Corporate solar energy projects</t>
  </si>
  <si>
    <r>
      <t>PP-I</t>
    </r>
    <r>
      <rPr>
        <vertAlign val="superscript"/>
        <sz val="9"/>
        <color rgb="FF000000"/>
        <rFont val="Arial"/>
        <family val="2"/>
      </rPr>
      <t>(7)</t>
    </r>
  </si>
  <si>
    <r>
      <t>RTC-I</t>
    </r>
    <r>
      <rPr>
        <vertAlign val="superscript"/>
        <sz val="9"/>
        <color rgb="FF000000"/>
        <rFont val="Arial"/>
        <family val="2"/>
      </rPr>
      <t>(7)</t>
    </r>
  </si>
  <si>
    <t>Founder Entities</t>
  </si>
  <si>
    <t>4. RMG is liquidated and its shareholding has been transferred to few investors thereof. The shares have been included in Public Shareholders for purposes of representation</t>
  </si>
  <si>
    <t>x</t>
  </si>
  <si>
    <t>Total Shares Outstanding for Renew Global PLC</t>
  </si>
  <si>
    <t>Total Diluted Shares for Renew Global PLC</t>
  </si>
  <si>
    <t>Class A Shares to be issued to Mr Sinha</t>
  </si>
  <si>
    <t>Three months ended
September 30, 2022</t>
  </si>
  <si>
    <t>Revenue</t>
  </si>
  <si>
    <t>Late payment surcharge from customers</t>
  </si>
  <si>
    <t>Six months ended
September 30, 2022</t>
  </si>
  <si>
    <t>Three months ended September 30, 2022</t>
  </si>
  <si>
    <t>Six month ended
September 30, 2022</t>
  </si>
  <si>
    <t>Three months ended September 30, 2021</t>
  </si>
  <si>
    <t>Less: Finance income and fair value change in derivative instruments</t>
  </si>
  <si>
    <t>Add: Depreciation and amortisation</t>
  </si>
  <si>
    <t>Add: Finance costs and fair value change in derivative instruments</t>
  </si>
  <si>
    <t>Add: Change in fair value of warrants</t>
  </si>
  <si>
    <t>Add: Listing and related expenses</t>
  </si>
  <si>
    <t>Add: Income tax expense</t>
  </si>
  <si>
    <t>Add: Share based payment expense related to listing</t>
  </si>
  <si>
    <t>Revised Adjusted EBITDA calculation with effect from September 2022 &gt;&gt;</t>
  </si>
  <si>
    <t>For the year ended
March 31, 2019</t>
  </si>
  <si>
    <t>For the year ended
March 31, 2020</t>
  </si>
  <si>
    <t>For the year ended
March 31, 2021</t>
  </si>
  <si>
    <t>For the year ended
March 31, 2022</t>
  </si>
  <si>
    <t>As at 
September 30, 2022</t>
  </si>
  <si>
    <t>As at 
March 31, 2022</t>
  </si>
  <si>
    <t>As at 
December 31, 2021</t>
  </si>
  <si>
    <t>As at 
September 30, 2021</t>
  </si>
  <si>
    <t>As at 
March 31, 2021</t>
  </si>
  <si>
    <t>As at 
March 31, 2020</t>
  </si>
  <si>
    <t>As at 
March 31, 2019</t>
  </si>
  <si>
    <t>As at 
December 31, 2022</t>
  </si>
  <si>
    <t>As at 
March 31, 2023</t>
  </si>
  <si>
    <t>Three months ended
December 31, 2022</t>
  </si>
  <si>
    <t>Three months ended
March 31, 2023</t>
  </si>
  <si>
    <t>Nine month ended
December 31, 2022</t>
  </si>
  <si>
    <t>Three months ended December 31, 2022</t>
  </si>
  <si>
    <t>Three months ended March 31, 2023</t>
  </si>
  <si>
    <t>For the year ended March 31, 2023</t>
  </si>
  <si>
    <t>Shares bought back, held as treasury stock</t>
  </si>
  <si>
    <t>Put options exercised during the period</t>
  </si>
  <si>
    <t>Contract assets</t>
  </si>
  <si>
    <t>Share in (loss)/profit of jointly controlled entities</t>
  </si>
  <si>
    <t>(Increase) / decrease in contract assets</t>
  </si>
  <si>
    <t>Nine months ended
December 31, 2022</t>
  </si>
  <si>
    <t>For the year ended
March 31, 2023</t>
  </si>
  <si>
    <t>Add: Finance income and fair value change in derivative instruments</t>
  </si>
  <si>
    <t>Less: Interest paid in cash</t>
  </si>
  <si>
    <t>Less: Tax refund / (paid)</t>
  </si>
  <si>
    <t>Less: Normalised loan repayment</t>
  </si>
  <si>
    <t>Less:- Share based payments expense (Cash settled) and others</t>
  </si>
  <si>
    <t>Add: Other non cash items</t>
  </si>
  <si>
    <t>Less: Share in loss of jointly controlled entities</t>
  </si>
  <si>
    <r>
      <t>Public Shareholders</t>
    </r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(SPAC + PIPE + Warrant exercise + RMG + ESOP exercised - buyback)</t>
    </r>
  </si>
  <si>
    <t>Public Warrant Holders in lieu of 1.7 MM shares</t>
  </si>
  <si>
    <t>Private Warrant Holders in lieu of 1.7 MM shares</t>
  </si>
  <si>
    <t>ESOP unexercised</t>
  </si>
  <si>
    <t>ESOPs</t>
  </si>
  <si>
    <t>Kushtagi - 1</t>
  </si>
  <si>
    <t>SECI 6</t>
  </si>
  <si>
    <t>SECI 7</t>
  </si>
  <si>
    <t>SECI 3</t>
  </si>
  <si>
    <t>Chincoli</t>
  </si>
  <si>
    <t>Mah PhII</t>
  </si>
  <si>
    <t xml:space="preserve">SECI VIII </t>
  </si>
  <si>
    <t>Bikaner</t>
  </si>
  <si>
    <t>Patoda(ISTS) - Kallam</t>
  </si>
  <si>
    <t>Hasapur</t>
  </si>
  <si>
    <t>Kekatpur</t>
  </si>
  <si>
    <t>Fatehgarh</t>
  </si>
  <si>
    <t>Under development</t>
  </si>
  <si>
    <t>TamilNadu</t>
  </si>
  <si>
    <t>Rajasthan (ISTS)</t>
  </si>
  <si>
    <t>Maharashtra (ISTS)</t>
  </si>
  <si>
    <t>Uttrakhand</t>
  </si>
  <si>
    <r>
      <t>CoD/ Weighted Average CoD</t>
    </r>
    <r>
      <rPr>
        <b/>
        <vertAlign val="superscript"/>
        <sz val="9"/>
        <color theme="0"/>
        <rFont val="Arial"/>
        <family val="2"/>
      </rPr>
      <t>(4)</t>
    </r>
  </si>
  <si>
    <t>Q4 FY25</t>
  </si>
  <si>
    <t>Q4 FY24</t>
  </si>
  <si>
    <t>Q1 FY25</t>
  </si>
  <si>
    <t>Q3 FY24</t>
  </si>
  <si>
    <t>INR 5.98/unit for 1st year with escalation of 3% till 10th year, from 11th to 25th year 10th year tariff will apply</t>
  </si>
  <si>
    <t>Off Peak - 2.88
Peak - 6.85</t>
  </si>
  <si>
    <t>INR 2.90/unit for 1st year with escalation of 3% till 15th year, from 16th to 25th year 15th year tariff will apply</t>
  </si>
  <si>
    <t>IEX + 0.9</t>
  </si>
  <si>
    <t>IEX</t>
  </si>
  <si>
    <t>IEX + 1.10</t>
  </si>
  <si>
    <t>GUVNL (23.1), 3rd Party (2.1)</t>
  </si>
  <si>
    <t>Merchant Market + Microsoft (Green Credits)</t>
  </si>
  <si>
    <t>Merchant Market</t>
  </si>
  <si>
    <t>Other Projects</t>
  </si>
  <si>
    <t>For 23.1MW-APPC Rate escalating in line with State APPC tariff; For 2.1MW-INR 3.25/unit</t>
  </si>
  <si>
    <r>
      <t>25 years for 23.1 MWs &amp; 10 years</t>
    </r>
    <r>
      <rPr>
        <vertAlign val="superscript"/>
        <sz val="10"/>
        <color theme="1"/>
        <rFont val="Calibri"/>
        <family val="2"/>
        <scheme val="minor"/>
      </rPr>
      <t>(4)</t>
    </r>
    <r>
      <rPr>
        <sz val="10"/>
        <color theme="1"/>
        <rFont val="Calibri"/>
        <family val="2"/>
        <scheme val="minor"/>
      </rPr>
      <t xml:space="preserve"> for 2.1 MW</t>
    </r>
  </si>
  <si>
    <r>
      <t>Kagvad</t>
    </r>
    <r>
      <rPr>
        <vertAlign val="superscript"/>
        <sz val="9"/>
        <color rgb="FF000000"/>
        <rFont val="Arial"/>
        <family val="2"/>
      </rPr>
      <t>(7)</t>
    </r>
  </si>
  <si>
    <r>
      <t>Otha-II</t>
    </r>
    <r>
      <rPr>
        <vertAlign val="superscript"/>
        <sz val="9"/>
        <color rgb="FF000000"/>
        <rFont val="Arial"/>
        <family val="2"/>
      </rPr>
      <t>(7)</t>
    </r>
  </si>
  <si>
    <r>
      <t>Otha-III</t>
    </r>
    <r>
      <rPr>
        <vertAlign val="superscript"/>
        <sz val="9"/>
        <color rgb="FF000000"/>
        <rFont val="Arial"/>
        <family val="2"/>
      </rPr>
      <t>(7)</t>
    </r>
  </si>
  <si>
    <r>
      <t>Kudiligi</t>
    </r>
    <r>
      <rPr>
        <vertAlign val="superscript"/>
        <sz val="9"/>
        <color rgb="FF000000"/>
        <rFont val="Arial"/>
        <family val="2"/>
      </rPr>
      <t>(7)</t>
    </r>
  </si>
  <si>
    <r>
      <t>Sholapur</t>
    </r>
    <r>
      <rPr>
        <vertAlign val="superscript"/>
        <sz val="9"/>
        <color rgb="FF000000"/>
        <rFont val="Arial"/>
        <family val="2"/>
      </rPr>
      <t>(7)</t>
    </r>
  </si>
  <si>
    <r>
      <t>Runija</t>
    </r>
    <r>
      <rPr>
        <vertAlign val="superscript"/>
        <sz val="9"/>
        <color rgb="FF000000"/>
        <rFont val="Arial"/>
        <family val="2"/>
      </rPr>
      <t>(7)</t>
    </r>
  </si>
  <si>
    <r>
      <t>L&amp;T Hydro</t>
    </r>
    <r>
      <rPr>
        <vertAlign val="superscript"/>
        <sz val="9"/>
        <color rgb="FF000000"/>
        <rFont val="Arial"/>
        <family val="2"/>
      </rPr>
      <t>(9)</t>
    </r>
  </si>
  <si>
    <r>
      <t>Sunworld</t>
    </r>
    <r>
      <rPr>
        <vertAlign val="superscript"/>
        <sz val="9"/>
        <color rgb="FF000000"/>
        <rFont val="Arial"/>
        <family val="2"/>
      </rPr>
      <t>(9)</t>
    </r>
  </si>
  <si>
    <r>
      <t>Purvanchal</t>
    </r>
    <r>
      <rPr>
        <vertAlign val="superscript"/>
        <sz val="9"/>
        <color rgb="FF000000"/>
        <rFont val="Arial"/>
        <family val="2"/>
      </rPr>
      <t>(9)</t>
    </r>
  </si>
  <si>
    <r>
      <t>Neemuch</t>
    </r>
    <r>
      <rPr>
        <vertAlign val="superscript"/>
        <sz val="9"/>
        <color rgb="FF000000"/>
        <rFont val="Arial"/>
        <family val="2"/>
      </rPr>
      <t>(9)</t>
    </r>
  </si>
  <si>
    <r>
      <t>Fazilka</t>
    </r>
    <r>
      <rPr>
        <vertAlign val="superscript"/>
        <sz val="9"/>
        <color rgb="FF000000"/>
        <rFont val="Arial"/>
        <family val="2"/>
      </rPr>
      <t>(9)</t>
    </r>
  </si>
  <si>
    <r>
      <t>Narwana</t>
    </r>
    <r>
      <rPr>
        <vertAlign val="superscript"/>
        <sz val="9"/>
        <color rgb="FF000000"/>
        <rFont val="Arial"/>
        <family val="2"/>
      </rPr>
      <t>(9)</t>
    </r>
  </si>
  <si>
    <r>
      <t>Warangal</t>
    </r>
    <r>
      <rPr>
        <vertAlign val="superscript"/>
        <sz val="9"/>
        <color rgb="FF000000"/>
        <rFont val="Arial"/>
        <family val="2"/>
      </rPr>
      <t>(9)</t>
    </r>
  </si>
  <si>
    <r>
      <t>Medak</t>
    </r>
    <r>
      <rPr>
        <vertAlign val="superscript"/>
        <sz val="9"/>
        <color rgb="FF000000"/>
        <rFont val="Arial"/>
        <family val="2"/>
      </rPr>
      <t>(9)</t>
    </r>
  </si>
  <si>
    <r>
      <t>Nizamabad</t>
    </r>
    <r>
      <rPr>
        <vertAlign val="superscript"/>
        <sz val="9"/>
        <color rgb="FF000000"/>
        <rFont val="Arial"/>
        <family val="2"/>
      </rPr>
      <t>(9)</t>
    </r>
  </si>
  <si>
    <r>
      <t>Karimnagar</t>
    </r>
    <r>
      <rPr>
        <vertAlign val="superscript"/>
        <sz val="9"/>
        <color rgb="FF000000"/>
        <rFont val="Arial"/>
        <family val="2"/>
      </rPr>
      <t>(9)</t>
    </r>
  </si>
  <si>
    <r>
      <t>Rewanchal</t>
    </r>
    <r>
      <rPr>
        <vertAlign val="superscript"/>
        <sz val="9"/>
        <color rgb="FF000000"/>
        <rFont val="Arial"/>
        <family val="2"/>
      </rPr>
      <t>(9)</t>
    </r>
  </si>
  <si>
    <r>
      <t>Ranga Reddy</t>
    </r>
    <r>
      <rPr>
        <vertAlign val="superscript"/>
        <sz val="9"/>
        <color rgb="FF000000"/>
        <rFont val="Arial"/>
        <family val="2"/>
      </rPr>
      <t>(9)</t>
    </r>
  </si>
  <si>
    <t>Acquired</t>
  </si>
  <si>
    <t>Yes</t>
  </si>
  <si>
    <t>Three months ended
June 30, 2023</t>
  </si>
  <si>
    <t>As at 
June 30, 2023</t>
  </si>
  <si>
    <t>Three months ended June 30, 2023</t>
  </si>
  <si>
    <t>Yavatmal</t>
  </si>
  <si>
    <t>Q2 FY25</t>
  </si>
  <si>
    <t>Q1FY25</t>
  </si>
  <si>
    <t>5.39(2)</t>
  </si>
  <si>
    <t>7.10 + escalation linked to DISCOM tariff</t>
  </si>
  <si>
    <t>6.91 + escalation linked to DISCOM tariff</t>
  </si>
  <si>
    <t>6.41 + escalation linked to DISCOM tariff</t>
  </si>
  <si>
    <t>7.22 + escalation linked to DISCOM tariff</t>
  </si>
  <si>
    <t>4.84+Tax Passthrough</t>
  </si>
  <si>
    <t xml:space="preserve">5.78(3) </t>
  </si>
  <si>
    <t>6.08(3)</t>
  </si>
  <si>
    <t xml:space="preserve">5.88(3) </t>
  </si>
  <si>
    <t>6.55 + escalation linked to DISCOM tariff</t>
  </si>
  <si>
    <t>4.50+Tax Passthrough</t>
  </si>
  <si>
    <t>4.83+Tax Passthrough</t>
  </si>
  <si>
    <t>5.88(3)</t>
  </si>
  <si>
    <t>3.74+Tax Passthrough</t>
  </si>
  <si>
    <t>3.72+Tax Passthrough</t>
  </si>
  <si>
    <t>4.74(2)</t>
  </si>
  <si>
    <t>5.79 + escalation linked to HT tariff movement &amp; predefined escalation</t>
  </si>
  <si>
    <t xml:space="preserve">5.40 + escalation linked to HT tariff movement or predefined escalation or no escalation </t>
  </si>
  <si>
    <t xml:space="preserve">4.78 + escalation linked to HT tariff movement or predefined escalation or no escalation </t>
  </si>
  <si>
    <t xml:space="preserve">5.49 + escalation linked to HT tariff movement or predefined escalation or no escalation </t>
  </si>
  <si>
    <t xml:space="preserve">4.88 + escalation linked to HT tariff movement or predefined escalation or no escalation </t>
  </si>
  <si>
    <t>As at 
September 30, 2023</t>
  </si>
  <si>
    <t>Three months ended
September 30, 2023</t>
  </si>
  <si>
    <t>Six months ended
September 30, 2023</t>
  </si>
  <si>
    <t>Six month ended
September 30, 2023</t>
  </si>
  <si>
    <t>Three months ended September 30, 2023</t>
  </si>
  <si>
    <t>Kar 40bid(2)</t>
  </si>
  <si>
    <t>GUVNL-XIX</t>
  </si>
  <si>
    <t>2.81-4</t>
  </si>
  <si>
    <t>2.8-3.81</t>
  </si>
  <si>
    <t>3.35-4</t>
  </si>
  <si>
    <t>B2B Customers</t>
  </si>
  <si>
    <t>As at 
December 31, 2023</t>
  </si>
  <si>
    <t>Three months ended
December 31, 2023</t>
  </si>
  <si>
    <t>Nine month ended
December 31, 2023</t>
  </si>
  <si>
    <t>Three months ended December 31, 2023</t>
  </si>
  <si>
    <t>Nine months ended
December 31, 2023</t>
  </si>
  <si>
    <t>Buyback</t>
  </si>
  <si>
    <t>Revised Balance Sheet format with effect from March 2024&gt;&gt;</t>
  </si>
  <si>
    <t>As at 
March 31, 2024</t>
  </si>
  <si>
    <t>Other financial assets</t>
  </si>
  <si>
    <t>Tax assets</t>
  </si>
  <si>
    <t>Other non-financial assets</t>
  </si>
  <si>
    <t xml:space="preserve">Equity </t>
  </si>
  <si>
    <t>- Principal portion</t>
  </si>
  <si>
    <t>Other financial liabilities</t>
  </si>
  <si>
    <t>Other non-financial liabilities</t>
  </si>
  <si>
    <t>- Interest accrued</t>
  </si>
  <si>
    <t>Tax liabilities (net)</t>
  </si>
  <si>
    <t>For the year ended March 31, 2024</t>
  </si>
  <si>
    <t>Three months ended
March 31, 2024</t>
  </si>
  <si>
    <t>Three months ended March 31, 2024</t>
  </si>
  <si>
    <t>(Increase) / decrease in other financial assets</t>
  </si>
  <si>
    <t>(Increase) / decrease in other non-financial assets</t>
  </si>
  <si>
    <t>Decrease / (increase) in other financial liabilities</t>
  </si>
  <si>
    <t>Decrease / (increase) in other non-financial liabilities</t>
  </si>
  <si>
    <t>Investment in optionally convertible debentures</t>
  </si>
  <si>
    <t>Proceeds from shares issued by subsidiaries</t>
  </si>
  <si>
    <t>Proceeds from compulsorily convertible debentures issued by subsidiaries</t>
  </si>
  <si>
    <t>For the year ended
March 31, 2024</t>
  </si>
  <si>
    <t>As at 
June 30, 2024</t>
  </si>
  <si>
    <t>Three months ended
June 30, 2024</t>
  </si>
  <si>
    <t>Three months ended June 30, 2024</t>
  </si>
  <si>
    <t>Investment in energy funds</t>
  </si>
  <si>
    <t>ESOPs Exercised</t>
  </si>
  <si>
    <t>RSU Issued</t>
  </si>
  <si>
    <t>H2 FY26</t>
  </si>
  <si>
    <t>H1 FY25</t>
  </si>
  <si>
    <t>H2 FY25</t>
  </si>
  <si>
    <t>Sholapur(7)</t>
  </si>
  <si>
    <t>SJVN FDRE I</t>
  </si>
  <si>
    <t>H1 FY27</t>
  </si>
  <si>
    <t>SJVN</t>
  </si>
  <si>
    <t>SECI XII</t>
  </si>
  <si>
    <t>SECI XI</t>
  </si>
  <si>
    <t>REC-DVC</t>
  </si>
  <si>
    <t>DVC</t>
  </si>
  <si>
    <t>As at 
September 30, 2024</t>
  </si>
  <si>
    <t>Three months ended
September 30, 2024</t>
  </si>
  <si>
    <t>Six months ended
September 30, 2024</t>
  </si>
  <si>
    <t>Three months ended September 30, 2024</t>
  </si>
  <si>
    <t>Six month ended
September 30, 2024</t>
  </si>
  <si>
    <t xml:space="preserve">Finance income </t>
  </si>
  <si>
    <t>SECI Hybrid 6</t>
  </si>
  <si>
    <t>Nine month ended
December 31, 2024</t>
  </si>
  <si>
    <t>Three months ended
December 31, 2024</t>
  </si>
  <si>
    <t>As at 
December 31, 2024</t>
  </si>
  <si>
    <t>Three months ended December 31, 2024</t>
  </si>
  <si>
    <t>Nine months ended
December 31, 2024</t>
  </si>
  <si>
    <t>As at 
March 31, 2025</t>
  </si>
  <si>
    <t>For the year ended March 31, 2025</t>
  </si>
  <si>
    <t>Increase in inventories of finished goods</t>
  </si>
  <si>
    <t>For the year ended
March 31, 2025</t>
  </si>
  <si>
    <t>Three months ended
March 31, 2025</t>
  </si>
  <si>
    <t>Three months ended March 31, 2025</t>
  </si>
  <si>
    <t>Profit/ (loss) for the period</t>
  </si>
  <si>
    <t>Basic earnings /(loss) attributable to ordinary equity holders of the Parent (in INR and USD)</t>
  </si>
  <si>
    <t>Diluted earnings /(loss) attributable to ordinary equity holders of the Parent (in INR and USD)</t>
  </si>
  <si>
    <t>As at 
Jun 30, 2025</t>
  </si>
  <si>
    <t>Three months ended
June 30, 2025</t>
  </si>
  <si>
    <t>Three months ended June 30, 2025</t>
  </si>
  <si>
    <t>Dividend paid to non-controlling interest</t>
  </si>
  <si>
    <t>Notes</t>
  </si>
  <si>
    <t xml:space="preserve">2. Management ESOPs assumes dilution using treasury stock method </t>
  </si>
  <si>
    <t>3. Total share count does not account for warrant dilution. 1.7M potential shares in Cells C12 and C13 account for the .0917589 extra share per warrant as provided in Warrant Agreement</t>
  </si>
  <si>
    <t>5. Buyback shares (cell F15), ESOP exercised (G15), RSU issued (H15) already factored in public shareholding # in Cell C9</t>
  </si>
  <si>
    <t>Q1 FY26</t>
  </si>
  <si>
    <t>Q3 FY25</t>
  </si>
  <si>
    <t>H1 FY26</t>
  </si>
  <si>
    <t>SECI XVIII</t>
  </si>
  <si>
    <t>Bikaner (SECI XVIII)</t>
  </si>
  <si>
    <t>Complex</t>
  </si>
  <si>
    <t>TBD</t>
  </si>
  <si>
    <t>REMCL RTC II</t>
  </si>
  <si>
    <t>REMCL</t>
  </si>
  <si>
    <t>NHPC FDRE</t>
  </si>
  <si>
    <t>NHPC</t>
  </si>
  <si>
    <t>NTPC FDRE II</t>
  </si>
  <si>
    <t>SJVN FDRE II</t>
  </si>
  <si>
    <t>UPPCL</t>
  </si>
  <si>
    <t>Dev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</si>
</sst>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 * #,##0.00_ ;_ * \-#,##0.00_ ;_ * &quot;-&quot;??_ ;_ @_ "/>
    <numFmt numFmtId="166" formatCode="#,##0,,;\(#,##0,,\);\ &quot;-&quot;"/>
    <numFmt numFmtId="167" formatCode="_(* #,##0_);_(* \(#,##0\);_(* &quot;-&quot;??_);_(@_)"/>
    <numFmt numFmtId="168" formatCode="#,##0.00,,;\(#,##0.00,,\);\ &quot;-&quot;"/>
    <numFmt numFmtId="169" formatCode="_([$€-2]* #,##0.00_);_([$€-2]* \(#,##0.00\);_([$€-2]* &quot;-&quot;??_)"/>
    <numFmt numFmtId="170" formatCode="_ * #,##0_ ;_ * \-#,##0_ ;_ * &quot;-&quot;??_ ;_ @_ "/>
    <numFmt numFmtId="171" formatCode="[$-409]mmmm\ d\,\ yyyy;@"/>
    <numFmt numFmtId="172" formatCode="0_);\(0\)"/>
    <numFmt numFmtId="173" formatCode="_(* #,##0.0000_);_(* \(#,##0.0000\);_(* &quot;-&quot;??_);_(@_)"/>
    <numFmt numFmtId="174" formatCode="0.0%"/>
    <numFmt numFmtId="175" formatCode="#,##0.000"/>
    <numFmt numFmtId="176" formatCode="#,##0.0"/>
    <numFmt numFmtId="177" formatCode="0.0"/>
    <numFmt numFmtId="178" formatCode="_(* #,##0.0_);_(* \(#,##0.0\);_(* &quot;-&quot;??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color theme="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sz val="1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rgb="FFFFFFFF"/>
      <name val="Arial"/>
      <family val="2"/>
    </font>
    <font>
      <b/>
      <vertAlign val="superscript"/>
      <sz val="9"/>
      <color rgb="FFFFFFFF"/>
      <name val="Arial"/>
      <family val="2"/>
    </font>
    <font>
      <sz val="9"/>
      <color rgb="FF000000"/>
      <name val="Arial"/>
      <family val="2"/>
    </font>
    <font>
      <vertAlign val="superscript"/>
      <sz val="9"/>
      <color rgb="FF000000"/>
      <name val="Arial"/>
      <family val="2"/>
    </font>
    <font>
      <sz val="9"/>
      <color rgb="FF231F2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11"/>
      <color indexed="8"/>
      <name val="Calibri"/>
      <family val="2"/>
    </font>
    <font>
      <b/>
      <sz val="11"/>
      <color rgb="FFFF0000"/>
      <name val="Times New Roman"/>
      <family val="1"/>
    </font>
    <font>
      <b/>
      <sz val="11"/>
      <color theme="0"/>
      <name val="Times New Roman"/>
      <family val="1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vertAlign val="superscript"/>
      <sz val="9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48774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169" fontId="1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0" fillId="0" borderId="0"/>
    <xf numFmtId="171" fontId="9" fillId="0" borderId="0"/>
    <xf numFmtId="169" fontId="1" fillId="0" borderId="0"/>
    <xf numFmtId="165" fontId="1" fillId="0" borderId="0" applyFont="0" applyFill="0" applyBorder="0" applyAlignment="0" applyProtection="0"/>
    <xf numFmtId="0" fontId="9" fillId="0" borderId="0"/>
    <xf numFmtId="43" fontId="2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53">
    <xf numFmtId="0" fontId="0" fillId="0" borderId="0" xfId="0"/>
    <xf numFmtId="43" fontId="5" fillId="0" borderId="0" xfId="1" applyFont="1" applyFill="1"/>
    <xf numFmtId="1" fontId="4" fillId="0" borderId="0" xfId="1" applyNumberFormat="1" applyFont="1" applyFill="1" applyAlignment="1">
      <alignment horizontal="center" vertical="center"/>
    </xf>
    <xf numFmtId="166" fontId="6" fillId="0" borderId="0" xfId="1" applyNumberFormat="1" applyFont="1" applyFill="1"/>
    <xf numFmtId="43" fontId="2" fillId="0" borderId="1" xfId="1" quotePrefix="1" applyFont="1" applyFill="1" applyBorder="1" applyAlignment="1">
      <alignment horizontal="center" vertical="top" wrapText="1"/>
    </xf>
    <xf numFmtId="166" fontId="5" fillId="0" borderId="0" xfId="1" applyNumberFormat="1" applyFont="1" applyFill="1"/>
    <xf numFmtId="168" fontId="5" fillId="0" borderId="0" xfId="1" applyNumberFormat="1" applyFont="1" applyFill="1"/>
    <xf numFmtId="166" fontId="2" fillId="0" borderId="2" xfId="1" applyNumberFormat="1" applyFont="1" applyFill="1" applyBorder="1" applyAlignment="1">
      <alignment horizontal="right"/>
    </xf>
    <xf numFmtId="166" fontId="2" fillId="0" borderId="0" xfId="1" applyNumberFormat="1" applyFont="1" applyFill="1" applyBorder="1" applyAlignment="1">
      <alignment horizontal="right"/>
    </xf>
    <xf numFmtId="166" fontId="2" fillId="0" borderId="3" xfId="1" applyNumberFormat="1" applyFont="1" applyFill="1" applyBorder="1" applyAlignment="1">
      <alignment horizontal="right"/>
    </xf>
    <xf numFmtId="166" fontId="7" fillId="0" borderId="0" xfId="1" applyNumberFormat="1" applyFont="1" applyFill="1" applyAlignment="1">
      <alignment horizontal="right"/>
    </xf>
    <xf numFmtId="166" fontId="5" fillId="0" borderId="0" xfId="1" applyNumberFormat="1" applyFont="1" applyFill="1" applyAlignment="1">
      <alignment vertical="top"/>
    </xf>
    <xf numFmtId="166" fontId="7" fillId="0" borderId="0" xfId="1" applyNumberFormat="1" applyFont="1" applyFill="1"/>
    <xf numFmtId="166" fontId="2" fillId="0" borderId="4" xfId="1" applyNumberFormat="1" applyFont="1" applyFill="1" applyBorder="1" applyAlignment="1">
      <alignment horizontal="right"/>
    </xf>
    <xf numFmtId="43" fontId="2" fillId="0" borderId="0" xfId="1" quotePrefix="1" applyFont="1" applyFill="1" applyBorder="1" applyAlignment="1">
      <alignment horizontal="center" vertical="top" wrapText="1"/>
    </xf>
    <xf numFmtId="170" fontId="7" fillId="0" borderId="0" xfId="3" applyNumberFormat="1" applyFont="1" applyFill="1" applyAlignment="1">
      <alignment vertical="top"/>
    </xf>
    <xf numFmtId="170" fontId="7" fillId="0" borderId="0" xfId="3" applyNumberFormat="1" applyFont="1" applyFill="1" applyBorder="1" applyAlignment="1">
      <alignment horizontal="center" vertical="top"/>
    </xf>
    <xf numFmtId="166" fontId="7" fillId="0" borderId="0" xfId="3" applyNumberFormat="1" applyFont="1" applyFill="1" applyBorder="1" applyAlignment="1">
      <alignment horizontal="right" vertical="distributed" wrapText="1"/>
    </xf>
    <xf numFmtId="166" fontId="2" fillId="0" borderId="0" xfId="3" applyNumberFormat="1" applyFont="1" applyFill="1" applyBorder="1" applyAlignment="1">
      <alignment horizontal="right" vertical="distributed" wrapText="1"/>
    </xf>
    <xf numFmtId="166" fontId="7" fillId="0" borderId="0" xfId="3" applyNumberFormat="1" applyFont="1" applyFill="1" applyBorder="1" applyAlignment="1">
      <alignment horizontal="right" vertical="distributed"/>
    </xf>
    <xf numFmtId="166" fontId="7" fillId="0" borderId="0" xfId="3" applyNumberFormat="1" applyFont="1" applyFill="1" applyBorder="1" applyAlignment="1">
      <alignment horizontal="right" vertical="top"/>
    </xf>
    <xf numFmtId="166" fontId="2" fillId="0" borderId="2" xfId="3" applyNumberFormat="1" applyFont="1" applyFill="1" applyBorder="1" applyAlignment="1">
      <alignment horizontal="right" vertical="distributed"/>
    </xf>
    <xf numFmtId="166" fontId="2" fillId="0" borderId="0" xfId="3" applyNumberFormat="1" applyFont="1" applyFill="1" applyBorder="1" applyAlignment="1">
      <alignment horizontal="right" vertical="distributed"/>
    </xf>
    <xf numFmtId="166" fontId="2" fillId="0" borderId="0" xfId="3" applyNumberFormat="1" applyFont="1" applyFill="1" applyBorder="1" applyAlignment="1">
      <alignment vertical="top"/>
    </xf>
    <xf numFmtId="166" fontId="2" fillId="0" borderId="0" xfId="3" applyNumberFormat="1" applyFont="1" applyFill="1" applyBorder="1" applyAlignment="1">
      <alignment horizontal="right" vertical="top" wrapText="1"/>
    </xf>
    <xf numFmtId="166" fontId="2" fillId="0" borderId="0" xfId="3" applyNumberFormat="1" applyFont="1" applyFill="1" applyBorder="1" applyAlignment="1">
      <alignment horizontal="right" vertical="top"/>
    </xf>
    <xf numFmtId="166" fontId="2" fillId="0" borderId="3" xfId="3" applyNumberFormat="1" applyFont="1" applyFill="1" applyBorder="1" applyAlignment="1">
      <alignment horizontal="right" vertical="distributed"/>
    </xf>
    <xf numFmtId="38" fontId="7" fillId="0" borderId="0" xfId="4" applyNumberFormat="1" applyFont="1" applyFill="1" applyBorder="1" applyAlignment="1">
      <alignment vertical="top" wrapText="1"/>
    </xf>
    <xf numFmtId="38" fontId="7" fillId="0" borderId="0" xfId="4" applyNumberFormat="1" applyFont="1" applyFill="1" applyBorder="1" applyAlignment="1">
      <alignment vertical="top"/>
    </xf>
    <xf numFmtId="167" fontId="2" fillId="0" borderId="0" xfId="4" applyNumberFormat="1" applyFont="1" applyFill="1" applyBorder="1" applyAlignment="1">
      <alignment vertical="top" wrapText="1"/>
    </xf>
    <xf numFmtId="170" fontId="0" fillId="0" borderId="0" xfId="8" applyNumberFormat="1" applyFont="1"/>
    <xf numFmtId="0" fontId="11" fillId="0" borderId="4" xfId="0" applyFont="1" applyBorder="1"/>
    <xf numFmtId="170" fontId="11" fillId="0" borderId="4" xfId="8" applyNumberFormat="1" applyFont="1" applyBorder="1"/>
    <xf numFmtId="0" fontId="12" fillId="0" borderId="0" xfId="0" applyFont="1"/>
    <xf numFmtId="0" fontId="13" fillId="2" borderId="7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/>
    <xf numFmtId="0" fontId="23" fillId="0" borderId="0" xfId="0" applyFont="1"/>
    <xf numFmtId="0" fontId="7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172" fontId="3" fillId="0" borderId="0" xfId="0" applyNumberFormat="1" applyFont="1" applyAlignment="1">
      <alignment horizontal="right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1" fontId="7" fillId="0" borderId="0" xfId="0" applyNumberFormat="1" applyFont="1" applyAlignment="1">
      <alignment horizontal="center" vertical="center"/>
    </xf>
    <xf numFmtId="0" fontId="4" fillId="0" borderId="0" xfId="0" applyFont="1"/>
    <xf numFmtId="168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/>
    </xf>
    <xf numFmtId="1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quotePrefix="1" applyFont="1" applyAlignment="1">
      <alignment horizontal="center" vertical="center"/>
    </xf>
    <xf numFmtId="0" fontId="4" fillId="0" borderId="0" xfId="0" quotePrefix="1" applyFont="1" applyAlignment="1">
      <alignment horizontal="justify"/>
    </xf>
    <xf numFmtId="0" fontId="5" fillId="0" borderId="0" xfId="0" applyFont="1" applyAlignment="1">
      <alignment horizontal="left" wrapText="1" indent="2"/>
    </xf>
    <xf numFmtId="0" fontId="5" fillId="0" borderId="0" xfId="0" applyFont="1" applyAlignment="1">
      <alignment horizontal="left" indent="2"/>
    </xf>
    <xf numFmtId="0" fontId="2" fillId="0" borderId="0" xfId="0" applyFont="1" applyAlignment="1">
      <alignment horizontal="right"/>
    </xf>
    <xf numFmtId="0" fontId="2" fillId="0" borderId="0" xfId="0" applyFont="1"/>
    <xf numFmtId="43" fontId="7" fillId="0" borderId="0" xfId="10" applyFont="1" applyFill="1" applyBorder="1" applyAlignment="1">
      <alignment vertical="top"/>
    </xf>
    <xf numFmtId="0" fontId="7" fillId="0" borderId="0" xfId="0" applyFont="1" applyAlignment="1">
      <alignment vertical="center"/>
    </xf>
    <xf numFmtId="166" fontId="2" fillId="0" borderId="0" xfId="10" applyNumberFormat="1" applyFont="1" applyFill="1" applyAlignment="1">
      <alignment vertical="top"/>
    </xf>
    <xf numFmtId="0" fontId="7" fillId="0" borderId="0" xfId="0" applyFont="1" applyAlignment="1">
      <alignment horizontal="center" vertical="top"/>
    </xf>
    <xf numFmtId="166" fontId="7" fillId="0" borderId="0" xfId="10" applyNumberFormat="1" applyFont="1" applyFill="1" applyAlignment="1">
      <alignment vertical="top"/>
    </xf>
    <xf numFmtId="43" fontId="2" fillId="0" borderId="0" xfId="10" applyFont="1" applyFill="1" applyBorder="1" applyAlignment="1">
      <alignment vertical="top"/>
    </xf>
    <xf numFmtId="43" fontId="2" fillId="0" borderId="0" xfId="10" quotePrefix="1" applyFont="1" applyFill="1" applyBorder="1" applyAlignment="1">
      <alignment horizontal="center" vertical="top" wrapText="1"/>
    </xf>
    <xf numFmtId="169" fontId="7" fillId="0" borderId="0" xfId="2" applyFont="1" applyAlignment="1">
      <alignment horizontal="left" vertical="top"/>
    </xf>
    <xf numFmtId="166" fontId="2" fillId="0" borderId="2" xfId="10" applyNumberFormat="1" applyFont="1" applyFill="1" applyBorder="1" applyAlignment="1">
      <alignment vertical="top"/>
    </xf>
    <xf numFmtId="166" fontId="2" fillId="0" borderId="0" xfId="10" applyNumberFormat="1" applyFont="1" applyFill="1" applyBorder="1" applyAlignment="1">
      <alignment vertical="top"/>
    </xf>
    <xf numFmtId="0" fontId="7" fillId="0" borderId="0" xfId="0" applyFont="1" applyAlignment="1">
      <alignment horizontal="left" vertical="top" wrapText="1"/>
    </xf>
    <xf numFmtId="166" fontId="2" fillId="0" borderId="4" xfId="10" applyNumberFormat="1" applyFont="1" applyFill="1" applyBorder="1" applyAlignment="1">
      <alignment vertical="top"/>
    </xf>
    <xf numFmtId="167" fontId="2" fillId="0" borderId="0" xfId="10" applyNumberFormat="1" applyFont="1" applyFill="1" applyBorder="1" applyAlignment="1">
      <alignment vertical="top"/>
    </xf>
    <xf numFmtId="172" fontId="2" fillId="0" borderId="0" xfId="0" applyNumberFormat="1" applyFont="1" applyAlignment="1">
      <alignment horizontal="right" vertical="top"/>
    </xf>
    <xf numFmtId="166" fontId="2" fillId="0" borderId="3" xfId="10" applyNumberFormat="1" applyFont="1" applyFill="1" applyBorder="1" applyAlignment="1">
      <alignment vertical="top"/>
    </xf>
    <xf numFmtId="0" fontId="8" fillId="0" borderId="0" xfId="0" applyFont="1" applyAlignment="1">
      <alignment horizontal="justify" vertical="top" wrapText="1"/>
    </xf>
    <xf numFmtId="43" fontId="7" fillId="0" borderId="0" xfId="10" applyFont="1" applyFill="1" applyAlignment="1">
      <alignment vertical="top"/>
    </xf>
    <xf numFmtId="171" fontId="2" fillId="0" borderId="0" xfId="5" applyFont="1" applyAlignment="1">
      <alignment horizontal="left" vertical="top"/>
    </xf>
    <xf numFmtId="171" fontId="2" fillId="0" borderId="0" xfId="5" applyFont="1" applyAlignment="1">
      <alignment vertical="top" wrapText="1"/>
    </xf>
    <xf numFmtId="171" fontId="7" fillId="0" borderId="0" xfId="5" applyFont="1" applyAlignment="1">
      <alignment vertical="top" wrapText="1"/>
    </xf>
    <xf numFmtId="171" fontId="7" fillId="0" borderId="0" xfId="6" applyFont="1" applyAlignment="1">
      <alignment vertical="top"/>
    </xf>
    <xf numFmtId="171" fontId="7" fillId="0" borderId="0" xfId="6" applyFont="1" applyAlignment="1">
      <alignment vertical="top" wrapText="1"/>
    </xf>
    <xf numFmtId="171" fontId="7" fillId="0" borderId="0" xfId="5" applyFont="1" applyAlignment="1">
      <alignment horizontal="left" vertical="top" indent="2"/>
    </xf>
    <xf numFmtId="171" fontId="7" fillId="0" borderId="0" xfId="5" applyFont="1" applyAlignment="1">
      <alignment vertical="top"/>
    </xf>
    <xf numFmtId="171" fontId="7" fillId="0" borderId="0" xfId="5" applyFont="1" applyAlignment="1">
      <alignment horizontal="left" vertical="top" wrapText="1"/>
    </xf>
    <xf numFmtId="171" fontId="2" fillId="0" borderId="0" xfId="5" applyFont="1" applyAlignment="1">
      <alignment horizontal="left" vertical="top" wrapText="1"/>
    </xf>
    <xf numFmtId="171" fontId="2" fillId="0" borderId="0" xfId="5" applyFont="1" applyAlignment="1">
      <alignment horizontal="right" vertical="top" wrapText="1" indent="1"/>
    </xf>
    <xf numFmtId="171" fontId="2" fillId="0" borderId="0" xfId="5" applyFont="1" applyAlignment="1">
      <alignment horizontal="right" vertical="top" wrapText="1"/>
    </xf>
    <xf numFmtId="171" fontId="2" fillId="0" borderId="0" xfId="5" applyFont="1" applyAlignment="1">
      <alignment vertical="top"/>
    </xf>
    <xf numFmtId="171" fontId="2" fillId="0" borderId="0" xfId="5" applyFont="1" applyAlignment="1">
      <alignment horizontal="right" vertical="top"/>
    </xf>
    <xf numFmtId="171" fontId="7" fillId="0" borderId="0" xfId="5" applyFont="1" applyAlignment="1">
      <alignment horizontal="left" vertical="top"/>
    </xf>
    <xf numFmtId="0" fontId="3" fillId="0" borderId="0" xfId="0" applyFont="1" applyAlignment="1">
      <alignment vertical="center"/>
    </xf>
    <xf numFmtId="43" fontId="2" fillId="0" borderId="1" xfId="10" applyFont="1" applyFill="1" applyBorder="1" applyAlignment="1">
      <alignment horizontal="center" vertical="top" wrapText="1"/>
    </xf>
    <xf numFmtId="0" fontId="2" fillId="0" borderId="0" xfId="10" applyNumberFormat="1" applyFont="1" applyFill="1" applyAlignment="1">
      <alignment horizontal="left" vertical="top"/>
    </xf>
    <xf numFmtId="166" fontId="5" fillId="0" borderId="0" xfId="0" applyNumberFormat="1" applyFont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left" vertical="center" indent="1"/>
    </xf>
    <xf numFmtId="166" fontId="7" fillId="0" borderId="0" xfId="1" applyNumberFormat="1" applyFont="1" applyFill="1" applyAlignment="1">
      <alignment vertical="top"/>
    </xf>
    <xf numFmtId="166" fontId="2" fillId="0" borderId="2" xfId="1" applyNumberFormat="1" applyFont="1" applyFill="1" applyBorder="1" applyAlignment="1">
      <alignment vertical="top"/>
    </xf>
    <xf numFmtId="166" fontId="2" fillId="0" borderId="0" xfId="1" applyNumberFormat="1" applyFont="1" applyFill="1" applyAlignment="1">
      <alignment vertical="top"/>
    </xf>
    <xf numFmtId="166" fontId="2" fillId="0" borderId="0" xfId="1" applyNumberFormat="1" applyFont="1" applyFill="1" applyBorder="1" applyAlignment="1">
      <alignment vertical="top"/>
    </xf>
    <xf numFmtId="166" fontId="2" fillId="0" borderId="4" xfId="1" applyNumberFormat="1" applyFont="1" applyFill="1" applyBorder="1" applyAlignment="1">
      <alignment vertical="top"/>
    </xf>
    <xf numFmtId="167" fontId="2" fillId="0" borderId="0" xfId="1" applyNumberFormat="1" applyFont="1" applyFill="1" applyBorder="1" applyAlignment="1">
      <alignment vertical="top"/>
    </xf>
    <xf numFmtId="166" fontId="2" fillId="0" borderId="3" xfId="1" applyNumberFormat="1" applyFont="1" applyFill="1" applyBorder="1" applyAlignment="1">
      <alignment vertical="top"/>
    </xf>
    <xf numFmtId="43" fontId="7" fillId="0" borderId="0" xfId="1" applyFont="1" applyFill="1" applyAlignment="1">
      <alignment vertical="top"/>
    </xf>
    <xf numFmtId="171" fontId="7" fillId="0" borderId="0" xfId="5" applyFont="1" applyAlignment="1">
      <alignment horizontal="justify" vertical="top" wrapText="1"/>
    </xf>
    <xf numFmtId="166" fontId="5" fillId="0" borderId="0" xfId="1" applyNumberFormat="1" applyFont="1" applyFill="1" applyBorder="1"/>
    <xf numFmtId="43" fontId="5" fillId="0" borderId="0" xfId="1" applyFont="1" applyFill="1" applyBorder="1"/>
    <xf numFmtId="166" fontId="3" fillId="0" borderId="1" xfId="1" applyNumberFormat="1" applyFont="1" applyFill="1" applyBorder="1" applyAlignment="1">
      <alignment horizontal="center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173" fontId="7" fillId="0" borderId="0" xfId="10" applyNumberFormat="1" applyFont="1" applyFill="1" applyAlignment="1">
      <alignment vertical="top"/>
    </xf>
    <xf numFmtId="166" fontId="3" fillId="0" borderId="0" xfId="1" applyNumberFormat="1" applyFont="1" applyFill="1" applyBorder="1" applyAlignment="1">
      <alignment horizontal="center"/>
    </xf>
    <xf numFmtId="170" fontId="7" fillId="0" borderId="0" xfId="3" applyNumberFormat="1" applyFont="1" applyFill="1" applyBorder="1" applyAlignment="1">
      <alignment vertical="top"/>
    </xf>
    <xf numFmtId="166" fontId="4" fillId="0" borderId="0" xfId="3" applyNumberFormat="1" applyFont="1" applyFill="1" applyBorder="1" applyAlignment="1">
      <alignment horizontal="right" vertical="distributed" wrapText="1"/>
    </xf>
    <xf numFmtId="43" fontId="7" fillId="0" borderId="0" xfId="0" applyNumberFormat="1" applyFont="1" applyAlignment="1">
      <alignment vertical="top"/>
    </xf>
    <xf numFmtId="0" fontId="24" fillId="0" borderId="0" xfId="0" applyFont="1" applyAlignment="1">
      <alignment vertical="center"/>
    </xf>
    <xf numFmtId="166" fontId="7" fillId="0" borderId="0" xfId="1" applyNumberFormat="1" applyFont="1" applyFill="1" applyBorder="1" applyAlignment="1">
      <alignment horizontal="right"/>
    </xf>
    <xf numFmtId="166" fontId="3" fillId="0" borderId="4" xfId="1" applyNumberFormat="1" applyFont="1" applyFill="1" applyBorder="1" applyAlignment="1">
      <alignment horizontal="center"/>
    </xf>
    <xf numFmtId="167" fontId="7" fillId="0" borderId="0" xfId="1" applyNumberFormat="1" applyFont="1" applyFill="1" applyAlignment="1">
      <alignment horizontal="left" vertical="top"/>
    </xf>
    <xf numFmtId="167" fontId="7" fillId="0" borderId="0" xfId="1" applyNumberFormat="1" applyFont="1" applyFill="1" applyBorder="1" applyAlignment="1">
      <alignment vertical="top"/>
    </xf>
    <xf numFmtId="167" fontId="7" fillId="0" borderId="0" xfId="1" applyNumberFormat="1" applyFont="1" applyFill="1" applyAlignment="1">
      <alignment vertical="top"/>
    </xf>
    <xf numFmtId="167" fontId="2" fillId="0" borderId="0" xfId="0" applyNumberFormat="1" applyFont="1" applyAlignment="1">
      <alignment vertical="top"/>
    </xf>
    <xf numFmtId="167" fontId="2" fillId="0" borderId="0" xfId="1" applyNumberFormat="1" applyFont="1" applyFill="1" applyAlignment="1">
      <alignment vertical="top"/>
    </xf>
    <xf numFmtId="166" fontId="2" fillId="0" borderId="0" xfId="1" applyNumberFormat="1" applyFont="1" applyFill="1" applyAlignment="1">
      <alignment horizontal="right"/>
    </xf>
    <xf numFmtId="0" fontId="25" fillId="0" borderId="0" xfId="0" applyFont="1"/>
    <xf numFmtId="0" fontId="26" fillId="0" borderId="0" xfId="0" applyFont="1"/>
    <xf numFmtId="0" fontId="27" fillId="0" borderId="1" xfId="11" applyFont="1" applyBorder="1" applyAlignment="1">
      <alignment vertical="center" wrapText="1"/>
    </xf>
    <xf numFmtId="0" fontId="26" fillId="0" borderId="0" xfId="0" applyFont="1" applyAlignment="1">
      <alignment wrapText="1"/>
    </xf>
    <xf numFmtId="0" fontId="26" fillId="4" borderId="13" xfId="11" applyFont="1" applyFill="1" applyBorder="1" applyAlignment="1">
      <alignment horizontal="center" vertical="center"/>
    </xf>
    <xf numFmtId="167" fontId="26" fillId="0" borderId="13" xfId="11" applyNumberFormat="1" applyFont="1" applyBorder="1" applyAlignment="1">
      <alignment horizontal="center" vertical="center"/>
    </xf>
    <xf numFmtId="0" fontId="27" fillId="0" borderId="4" xfId="11" applyFont="1" applyBorder="1" applyAlignment="1">
      <alignment vertical="center"/>
    </xf>
    <xf numFmtId="0" fontId="26" fillId="0" borderId="0" xfId="11" applyFont="1" applyAlignment="1">
      <alignment vertical="center"/>
    </xf>
    <xf numFmtId="167" fontId="26" fillId="0" borderId="0" xfId="8" applyNumberFormat="1" applyFont="1" applyAlignment="1">
      <alignment horizontal="center" vertical="center"/>
    </xf>
    <xf numFmtId="167" fontId="26" fillId="0" borderId="0" xfId="0" applyNumberFormat="1" applyFont="1"/>
    <xf numFmtId="0" fontId="13" fillId="2" borderId="6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20" fillId="3" borderId="8" xfId="0" applyFont="1" applyFill="1" applyBorder="1" applyAlignment="1">
      <alignment horizontal="left" vertical="center" wrapText="1"/>
    </xf>
    <xf numFmtId="0" fontId="21" fillId="3" borderId="9" xfId="0" applyFont="1" applyFill="1" applyBorder="1" applyAlignment="1">
      <alignment wrapText="1"/>
    </xf>
    <xf numFmtId="0" fontId="19" fillId="3" borderId="9" xfId="0" applyFont="1" applyFill="1" applyBorder="1" applyAlignment="1">
      <alignment wrapText="1"/>
    </xf>
    <xf numFmtId="0" fontId="19" fillId="3" borderId="10" xfId="0" applyFont="1" applyFill="1" applyBorder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top"/>
    </xf>
    <xf numFmtId="166" fontId="5" fillId="0" borderId="0" xfId="1" applyNumberFormat="1" applyFont="1" applyFill="1" applyBorder="1" applyAlignment="1">
      <alignment vertical="top"/>
    </xf>
    <xf numFmtId="0" fontId="26" fillId="4" borderId="0" xfId="11" applyFont="1" applyFill="1" applyAlignment="1">
      <alignment horizontal="center" vertical="center"/>
    </xf>
    <xf numFmtId="167" fontId="26" fillId="0" borderId="0" xfId="11" applyNumberFormat="1" applyFont="1" applyAlignment="1">
      <alignment horizontal="center" vertical="center"/>
    </xf>
    <xf numFmtId="167" fontId="26" fillId="0" borderId="0" xfId="11" applyNumberFormat="1" applyFont="1" applyAlignment="1">
      <alignment vertical="center"/>
    </xf>
    <xf numFmtId="174" fontId="26" fillId="0" borderId="14" xfId="0" applyNumberFormat="1" applyFont="1" applyBorder="1"/>
    <xf numFmtId="167" fontId="27" fillId="0" borderId="11" xfId="11" applyNumberFormat="1" applyFont="1" applyBorder="1" applyAlignment="1">
      <alignment vertical="center"/>
    </xf>
    <xf numFmtId="167" fontId="27" fillId="0" borderId="4" xfId="11" applyNumberFormat="1" applyFont="1" applyBorder="1" applyAlignment="1">
      <alignment vertical="center"/>
    </xf>
    <xf numFmtId="174" fontId="27" fillId="0" borderId="12" xfId="11" applyNumberFormat="1" applyFont="1" applyBorder="1" applyAlignment="1">
      <alignment vertical="center"/>
    </xf>
    <xf numFmtId="174" fontId="27" fillId="0" borderId="4" xfId="11" applyNumberFormat="1" applyFont="1" applyBorder="1" applyAlignment="1">
      <alignment vertical="center"/>
    </xf>
    <xf numFmtId="0" fontId="26" fillId="0" borderId="0" xfId="11" applyFont="1" applyAlignment="1">
      <alignment horizontal="center" vertical="center"/>
    </xf>
    <xf numFmtId="3" fontId="26" fillId="0" borderId="0" xfId="0" applyNumberFormat="1" applyFont="1"/>
    <xf numFmtId="0" fontId="29" fillId="0" borderId="0" xfId="0" applyFont="1"/>
    <xf numFmtId="0" fontId="29" fillId="0" borderId="0" xfId="0" applyFont="1" applyAlignment="1">
      <alignment horizontal="right"/>
    </xf>
    <xf numFmtId="0" fontId="11" fillId="0" borderId="0" xfId="0" applyFont="1"/>
    <xf numFmtId="170" fontId="11" fillId="0" borderId="0" xfId="8" applyNumberFormat="1" applyFont="1" applyBorder="1"/>
    <xf numFmtId="170" fontId="0" fillId="0" borderId="0" xfId="0" applyNumberFormat="1"/>
    <xf numFmtId="0" fontId="27" fillId="0" borderId="16" xfId="11" applyFont="1" applyBorder="1" applyAlignment="1">
      <alignment horizontal="center" vertical="center" wrapText="1"/>
    </xf>
    <xf numFmtId="0" fontId="27" fillId="0" borderId="1" xfId="11" applyFont="1" applyBorder="1" applyAlignment="1">
      <alignment horizontal="center" vertical="center" wrapText="1"/>
    </xf>
    <xf numFmtId="0" fontId="27" fillId="0" borderId="17" xfId="11" applyFont="1" applyBorder="1" applyAlignment="1">
      <alignment horizontal="center" vertical="center" wrapText="1"/>
    </xf>
    <xf numFmtId="0" fontId="27" fillId="0" borderId="0" xfId="0" applyFont="1"/>
    <xf numFmtId="167" fontId="26" fillId="6" borderId="0" xfId="11" applyNumberFormat="1" applyFont="1" applyFill="1" applyAlignment="1">
      <alignment horizontal="center" vertical="center"/>
    </xf>
    <xf numFmtId="0" fontId="27" fillId="0" borderId="0" xfId="11" applyFont="1" applyAlignment="1">
      <alignment vertical="center"/>
    </xf>
    <xf numFmtId="167" fontId="27" fillId="0" borderId="0" xfId="11" applyNumberFormat="1" applyFont="1" applyAlignment="1">
      <alignment vertical="center"/>
    </xf>
    <xf numFmtId="174" fontId="27" fillId="0" borderId="0" xfId="11" applyNumberFormat="1" applyFont="1" applyAlignment="1">
      <alignment vertical="center"/>
    </xf>
    <xf numFmtId="167" fontId="30" fillId="0" borderId="0" xfId="8" applyNumberFormat="1" applyFont="1" applyAlignment="1">
      <alignment horizontal="center" vertical="center"/>
    </xf>
    <xf numFmtId="0" fontId="31" fillId="0" borderId="0" xfId="0" applyFont="1"/>
    <xf numFmtId="0" fontId="32" fillId="0" borderId="0" xfId="0" applyFont="1" applyAlignment="1">
      <alignment horizontal="right"/>
    </xf>
    <xf numFmtId="0" fontId="26" fillId="0" borderId="0" xfId="0" applyFont="1" applyAlignment="1">
      <alignment horizontal="right"/>
    </xf>
    <xf numFmtId="170" fontId="8" fillId="0" borderId="0" xfId="8" applyNumberFormat="1" applyFont="1"/>
    <xf numFmtId="2" fontId="26" fillId="0" borderId="0" xfId="12" applyNumberFormat="1" applyFont="1"/>
    <xf numFmtId="4" fontId="26" fillId="0" borderId="0" xfId="0" applyNumberFormat="1" applyFont="1"/>
    <xf numFmtId="175" fontId="26" fillId="0" borderId="0" xfId="0" applyNumberFormat="1" applyFont="1"/>
    <xf numFmtId="176" fontId="26" fillId="0" borderId="0" xfId="0" applyNumberFormat="1" applyFont="1"/>
    <xf numFmtId="9" fontId="26" fillId="0" borderId="0" xfId="0" applyNumberFormat="1" applyFont="1"/>
    <xf numFmtId="15" fontId="26" fillId="0" borderId="0" xfId="0" applyNumberFormat="1" applyFont="1"/>
    <xf numFmtId="0" fontId="15" fillId="0" borderId="15" xfId="0" applyFont="1" applyBorder="1" applyAlignment="1">
      <alignment vertical="center" wrapText="1"/>
    </xf>
    <xf numFmtId="17" fontId="17" fillId="0" borderId="5" xfId="0" applyNumberFormat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left" vertical="center" wrapText="1"/>
    </xf>
    <xf numFmtId="0" fontId="15" fillId="0" borderId="5" xfId="0" applyFont="1" applyBorder="1" applyAlignment="1">
      <alignment vertical="center" wrapText="1"/>
    </xf>
    <xf numFmtId="170" fontId="8" fillId="0" borderId="0" xfId="8" applyNumberFormat="1" applyFont="1" applyFill="1"/>
    <xf numFmtId="166" fontId="7" fillId="0" borderId="0" xfId="3" applyNumberFormat="1" applyFont="1" applyFill="1" applyBorder="1" applyAlignment="1">
      <alignment vertical="top"/>
    </xf>
    <xf numFmtId="17" fontId="19" fillId="0" borderId="15" xfId="0" applyNumberFormat="1" applyFont="1" applyBorder="1" applyAlignment="1">
      <alignment vertical="center" wrapText="1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66" fontId="5" fillId="0" borderId="0" xfId="10" applyNumberFormat="1" applyFont="1" applyFill="1"/>
    <xf numFmtId="168" fontId="5" fillId="0" borderId="0" xfId="10" applyNumberFormat="1" applyFont="1" applyFill="1"/>
    <xf numFmtId="166" fontId="2" fillId="0" borderId="2" xfId="10" applyNumberFormat="1" applyFont="1" applyFill="1" applyBorder="1" applyAlignment="1">
      <alignment horizontal="right"/>
    </xf>
    <xf numFmtId="166" fontId="7" fillId="0" borderId="0" xfId="10" applyNumberFormat="1" applyFont="1" applyFill="1" applyBorder="1" applyAlignment="1">
      <alignment horizontal="right"/>
    </xf>
    <xf numFmtId="166" fontId="2" fillId="0" borderId="3" xfId="10" applyNumberFormat="1" applyFont="1" applyFill="1" applyBorder="1" applyAlignment="1">
      <alignment horizontal="right"/>
    </xf>
    <xf numFmtId="166" fontId="7" fillId="0" borderId="0" xfId="10" applyNumberFormat="1" applyFont="1" applyFill="1" applyAlignment="1">
      <alignment horizontal="right"/>
    </xf>
    <xf numFmtId="166" fontId="7" fillId="0" borderId="0" xfId="10" applyNumberFormat="1" applyFont="1" applyFill="1"/>
    <xf numFmtId="166" fontId="2" fillId="0" borderId="4" xfId="10" applyNumberFormat="1" applyFont="1" applyFill="1" applyBorder="1" applyAlignment="1">
      <alignment horizontal="right"/>
    </xf>
    <xf numFmtId="167" fontId="7" fillId="0" borderId="0" xfId="1" applyNumberFormat="1" applyFont="1" applyFill="1" applyBorder="1" applyAlignment="1">
      <alignment horizontal="left" vertical="top"/>
    </xf>
    <xf numFmtId="174" fontId="26" fillId="0" borderId="0" xfId="12" applyNumberFormat="1" applyFont="1"/>
    <xf numFmtId="164" fontId="26" fillId="0" borderId="0" xfId="11" applyNumberFormat="1" applyFont="1" applyAlignment="1">
      <alignment horizontal="center" vertical="center"/>
    </xf>
    <xf numFmtId="167" fontId="2" fillId="0" borderId="3" xfId="0" applyNumberFormat="1" applyFont="1" applyBorder="1" applyAlignment="1">
      <alignment vertical="top"/>
    </xf>
    <xf numFmtId="167" fontId="2" fillId="0" borderId="3" xfId="1" applyNumberFormat="1" applyFont="1" applyFill="1" applyBorder="1" applyAlignment="1">
      <alignment vertical="top"/>
    </xf>
    <xf numFmtId="174" fontId="26" fillId="0" borderId="0" xfId="0" applyNumberFormat="1" applyFont="1"/>
    <xf numFmtId="164" fontId="0" fillId="0" borderId="0" xfId="0" applyNumberFormat="1"/>
    <xf numFmtId="177" fontId="15" fillId="0" borderId="5" xfId="0" applyNumberFormat="1" applyFont="1" applyBorder="1" applyAlignment="1">
      <alignment horizontal="center" vertical="center" wrapText="1"/>
    </xf>
    <xf numFmtId="166" fontId="3" fillId="0" borderId="2" xfId="10" applyNumberFormat="1" applyFont="1" applyFill="1" applyBorder="1"/>
    <xf numFmtId="168" fontId="3" fillId="0" borderId="0" xfId="1" applyNumberFormat="1" applyFont="1" applyFill="1"/>
    <xf numFmtId="166" fontId="3" fillId="0" borderId="0" xfId="1" applyNumberFormat="1" applyFont="1" applyFill="1"/>
    <xf numFmtId="166" fontId="2" fillId="0" borderId="0" xfId="1" applyNumberFormat="1" applyFont="1" applyFill="1" applyBorder="1" applyAlignment="1">
      <alignment horizontal="left"/>
    </xf>
    <xf numFmtId="166" fontId="3" fillId="0" borderId="4" xfId="1" applyNumberFormat="1" applyFont="1" applyFill="1" applyBorder="1"/>
    <xf numFmtId="166" fontId="3" fillId="0" borderId="2" xfId="1" applyNumberFormat="1" applyFont="1" applyFill="1" applyBorder="1"/>
    <xf numFmtId="0" fontId="5" fillId="0" borderId="0" xfId="0" applyFont="1" applyAlignment="1">
      <alignment horizontal="left" indent="1"/>
    </xf>
    <xf numFmtId="166" fontId="3" fillId="0" borderId="4" xfId="10" applyNumberFormat="1" applyFont="1" applyFill="1" applyBorder="1"/>
    <xf numFmtId="166" fontId="3" fillId="0" borderId="3" xfId="10" applyNumberFormat="1" applyFont="1" applyFill="1" applyBorder="1"/>
    <xf numFmtId="0" fontId="5" fillId="7" borderId="0" xfId="0" applyFont="1" applyFill="1" applyAlignment="1">
      <alignment wrapText="1"/>
    </xf>
    <xf numFmtId="178" fontId="27" fillId="0" borderId="0" xfId="11" applyNumberFormat="1" applyFont="1" applyAlignment="1">
      <alignment vertical="center"/>
    </xf>
    <xf numFmtId="170" fontId="27" fillId="0" borderId="0" xfId="8" applyNumberFormat="1" applyFont="1" applyAlignment="1">
      <alignment vertical="center"/>
    </xf>
    <xf numFmtId="41" fontId="7" fillId="0" borderId="0" xfId="14" applyFont="1"/>
    <xf numFmtId="9" fontId="0" fillId="0" borderId="0" xfId="12" applyFont="1"/>
    <xf numFmtId="9" fontId="27" fillId="0" borderId="0" xfId="12" applyFont="1" applyAlignment="1">
      <alignment vertical="center"/>
    </xf>
    <xf numFmtId="41" fontId="5" fillId="0" borderId="0" xfId="14" applyFont="1"/>
    <xf numFmtId="41" fontId="7" fillId="0" borderId="0" xfId="14" applyFont="1" applyAlignment="1">
      <alignment vertical="top"/>
    </xf>
    <xf numFmtId="43" fontId="2" fillId="0" borderId="0" xfId="10" applyFont="1" applyFill="1" applyBorder="1" applyAlignment="1">
      <alignment horizontal="center" vertical="top" wrapText="1"/>
    </xf>
    <xf numFmtId="167" fontId="7" fillId="0" borderId="0" xfId="1" applyNumberFormat="1" applyFont="1" applyAlignment="1">
      <alignment vertical="top"/>
    </xf>
    <xf numFmtId="0" fontId="7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 vertical="top" wrapText="1"/>
    </xf>
    <xf numFmtId="169" fontId="7" fillId="0" borderId="0" xfId="2" applyFont="1" applyAlignment="1">
      <alignment horizontal="left" vertical="top"/>
    </xf>
    <xf numFmtId="0" fontId="7" fillId="0" borderId="0" xfId="0" applyFont="1" applyAlignment="1">
      <alignment horizontal="left" vertical="top" wrapText="1"/>
    </xf>
    <xf numFmtId="171" fontId="7" fillId="0" borderId="0" xfId="5" applyFont="1" applyAlignment="1">
      <alignment horizontal="justify" vertical="top"/>
    </xf>
    <xf numFmtId="171" fontId="7" fillId="0" borderId="0" xfId="5" applyFont="1" applyAlignment="1">
      <alignment horizontal="justify" vertical="top" wrapText="1"/>
    </xf>
    <xf numFmtId="0" fontId="26" fillId="5" borderId="11" xfId="11" applyFont="1" applyFill="1" applyBorder="1" applyAlignment="1">
      <alignment horizontal="center" vertical="center"/>
    </xf>
    <xf numFmtId="0" fontId="26" fillId="5" borderId="4" xfId="11" applyFont="1" applyFill="1" applyBorder="1" applyAlignment="1">
      <alignment horizontal="center" vertical="center"/>
    </xf>
    <xf numFmtId="0" fontId="26" fillId="5" borderId="12" xfId="11" applyFont="1" applyFill="1" applyBorder="1" applyAlignment="1">
      <alignment horizontal="center" vertical="center"/>
    </xf>
    <xf numFmtId="165" fontId="27" fillId="0" borderId="0" xfId="8" applyFont="1" applyAlignment="1">
      <alignment vertical="center"/>
    </xf>
    <xf numFmtId="0" fontId="25" fillId="0" borderId="0" xfId="11" applyFont="1" applyAlignment="1">
      <alignment vertical="center"/>
    </xf>
    <xf numFmtId="43" fontId="21" fillId="3" borderId="9" xfId="1" applyNumberFormat="1" applyFont="1" applyFill="1" applyBorder="1" applyAlignment="1">
      <alignment horizontal="center" wrapText="1"/>
    </xf>
  </cellXfs>
  <cellStyles count="15">
    <cellStyle name="Comma" xfId="1" builtinId="3"/>
    <cellStyle name="Comma [0]" xfId="14" builtinId="6"/>
    <cellStyle name="Comma 10 10" xfId="13" xr:uid="{2B42F2E0-64C8-453D-82F7-4A266F247957}"/>
    <cellStyle name="Comma 109" xfId="3" xr:uid="{00000000-0005-0000-0000-000001000000}"/>
    <cellStyle name="Comma 18 2" xfId="10" xr:uid="{00000000-0005-0000-0000-000002000000}"/>
    <cellStyle name="Comma 2" xfId="8" xr:uid="{00000000-0005-0000-0000-000003000000}"/>
    <cellStyle name="Comma 2 12" xfId="4" xr:uid="{00000000-0005-0000-0000-000004000000}"/>
    <cellStyle name="Normal" xfId="0" builtinId="0"/>
    <cellStyle name="Normal 2" xfId="11" xr:uid="{00000000-0005-0000-0000-000006000000}"/>
    <cellStyle name="Normal 2 2 2 2" xfId="9" xr:uid="{00000000-0005-0000-0000-000007000000}"/>
    <cellStyle name="Normal 49" xfId="2" xr:uid="{00000000-0005-0000-0000-000008000000}"/>
    <cellStyle name="Normal 50" xfId="7" xr:uid="{00000000-0005-0000-0000-000009000000}"/>
    <cellStyle name="Normal_Casf FLow" xfId="5" xr:uid="{00000000-0005-0000-0000-00000A000000}"/>
    <cellStyle name="Normal_CF Annual" xfId="6" xr:uid="{00000000-0005-0000-0000-00000B000000}"/>
    <cellStyle name="Percent" xfId="12" builtinId="5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225</xdr:row>
      <xdr:rowOff>136070</xdr:rowOff>
    </xdr:from>
    <xdr:to>
      <xdr:col>14</xdr:col>
      <xdr:colOff>349034</xdr:colOff>
      <xdr:row>234</xdr:row>
      <xdr:rowOff>73071</xdr:rowOff>
    </xdr:to>
    <xdr:sp macro="" textlink="">
      <xdr:nvSpPr>
        <xdr:cNvPr id="2" name="Text Placeholder 9">
          <a:extLst>
            <a:ext uri="{FF2B5EF4-FFF2-40B4-BE49-F238E27FC236}">
              <a16:creationId xmlns:a16="http://schemas.microsoft.com/office/drawing/2014/main" id="{2DD7D126-5692-4C82-87D2-F28B00F6BB6E}"/>
            </a:ext>
          </a:extLst>
        </xdr:cNvPr>
        <xdr:cNvSpPr>
          <a:spLocks noGrp="1"/>
        </xdr:cNvSpPr>
      </xdr:nvSpPr>
      <xdr:spPr>
        <a:xfrm>
          <a:off x="609600" y="54914345"/>
          <a:ext cx="15284234" cy="1651501"/>
        </a:xfrm>
        <a:prstGeom prst="rect">
          <a:avLst/>
        </a:prstGeom>
      </xdr:spPr>
      <xdr:txBody>
        <a:bodyPr wrap="square" lIns="0" tIns="0" rIns="0" bIns="0" anchor="t" anchorCtr="0">
          <a:noAutofit/>
        </a:bodyPr>
        <a:lstStyle>
          <a:lvl1pPr marL="0" indent="0">
            <a:buNone/>
            <a:defRPr sz="760">
              <a:latin typeface="+mn-lt"/>
              <a:ea typeface="+mn-ea"/>
              <a:cs typeface="+mn-cs"/>
            </a:defRPr>
          </a:lvl1pPr>
          <a:lvl2pPr marL="457200">
            <a:defRPr>
              <a:latin typeface="+mn-lt"/>
              <a:ea typeface="+mn-ea"/>
              <a:cs typeface="+mn-cs"/>
            </a:defRPr>
          </a:lvl2pPr>
          <a:lvl3pPr marL="914400">
            <a:defRPr>
              <a:latin typeface="+mn-lt"/>
              <a:ea typeface="+mn-ea"/>
              <a:cs typeface="+mn-cs"/>
            </a:defRPr>
          </a:lvl3pPr>
          <a:lvl4pPr marL="1371600">
            <a:defRPr>
              <a:latin typeface="+mn-lt"/>
              <a:ea typeface="+mn-ea"/>
              <a:cs typeface="+mn-cs"/>
            </a:defRPr>
          </a:lvl4pPr>
          <a:lvl5pPr marL="1828800">
            <a:defRPr>
              <a:latin typeface="+mn-lt"/>
              <a:ea typeface="+mn-ea"/>
              <a:cs typeface="+mn-cs"/>
            </a:defRPr>
          </a:lvl5pPr>
          <a:lvl6pPr marL="2286000">
            <a:defRPr>
              <a:latin typeface="+mn-lt"/>
              <a:ea typeface="+mn-ea"/>
              <a:cs typeface="+mn-cs"/>
            </a:defRPr>
          </a:lvl6pPr>
          <a:lvl7pPr marL="2743200">
            <a:defRPr>
              <a:latin typeface="+mn-lt"/>
              <a:ea typeface="+mn-ea"/>
              <a:cs typeface="+mn-cs"/>
            </a:defRPr>
          </a:lvl7pPr>
          <a:lvl8pPr marL="3200400">
            <a:defRPr>
              <a:latin typeface="+mn-lt"/>
              <a:ea typeface="+mn-ea"/>
              <a:cs typeface="+mn-cs"/>
            </a:defRPr>
          </a:lvl8pPr>
          <a:lvl9pPr marL="3657600">
            <a:defRPr>
              <a:latin typeface="+mn-lt"/>
              <a:ea typeface="+mn-ea"/>
              <a:cs typeface="+mn-cs"/>
            </a:defRPr>
          </a:lvl9pPr>
        </a:lstStyle>
        <a:p>
          <a:r>
            <a:rPr lang="en-US" sz="1000"/>
            <a:t>(1) Applicable tariff is based on PPAs or the latest invoices issued and in the case of group captive customers is a weighted average figure based on invoices issued to the customer  </a:t>
          </a:r>
        </a:p>
        <a:p>
          <a:pPr rtl="0" eaLnBrk="1" latinLnBrk="0" hangingPunct="1"/>
          <a:r>
            <a:rPr lang="en-US" sz="1000"/>
            <a:t>(2) </a:t>
          </a:r>
          <a:r>
            <a:rPr lang="en-US" sz="1000">
              <a:latin typeface="+mn-lt"/>
              <a:ea typeface="+mn-ea"/>
              <a:cs typeface="+mn-cs"/>
            </a:rPr>
            <a:t>MSEDCL: Maharashtra State Electricity Distribution Co. Ltd; JVVNL: Jaipur Vidyut Vitran Nigam Ltd; APSPDCL: Andhra Pradesh Southern Power Distribution Co. Ltd; AVVNL: Ajmer Vidyut Vitran Nigam Ltd ; MPPMCL: M.P. Power Management Co. Ltd; GUVNL: Gujarat Urja Vikas Nigam Ltd; JdVVNL: Jodhpur Vidyut Vitran Nigam Ltd; BESCOM: Bangalore Electricity Supply Co. Ltd; MESCOM: Mangalore Electricity Supply Co. Ltd; GESCOM: Gulbarga Electricity Supply Co. Ltd; HESCOM: Hubli Electricity Supply Co. Ltd; CESC: Chamundeshwari Electricity Supply Corp. Ltd; NTPC: National Thermal Power Corp. Ltd; PSPCL: Punjab State Power Corp. Ltd; RREC: Rajasthan Renewable Energy Corp. Ltd; SECI: Solar Energy Corporation of India Ltd; TANGEDCO: Tamil Nadu Generation &amp; Distribution Corp. Ltd; TSSPDCL: Telangana State Southern Power Distribution Co. Ltd; TSNPDCL: Telangana State Northern Power Distribution Co. Ltd; KSEBL: Kerala State Electricity Board Limited; MPPTCL: MP Power Transmission Company Ltd.; RVPN: Rajasthan Rajya Vidyut Prasaran Nigam Ltd;</a:t>
          </a:r>
          <a:endParaRPr lang="en-IN" sz="1000">
            <a:latin typeface="+mn-lt"/>
            <a:ea typeface="+mn-ea"/>
            <a:cs typeface="+mn-cs"/>
          </a:endParaRPr>
        </a:p>
        <a:p>
          <a:pPr rtl="0" eaLnBrk="1" latinLnBrk="0" hangingPunct="1"/>
          <a:r>
            <a:rPr lang="en-US" sz="1000">
              <a:latin typeface="+mn-lt"/>
              <a:ea typeface="+mn-ea"/>
              <a:cs typeface="+mn-cs"/>
            </a:rPr>
            <a:t>Third Party refers to private commercial &amp; industrial customers and power sold through IEX</a:t>
          </a:r>
          <a:endParaRPr lang="en-IN" sz="1000">
            <a:latin typeface="+mn-lt"/>
            <a:ea typeface="+mn-ea"/>
            <a:cs typeface="+mn-cs"/>
          </a:endParaRPr>
        </a:p>
        <a:p>
          <a:r>
            <a:rPr lang="en-US" sz="1000"/>
            <a:t>(3) Tariff grossed up by 4% to include transmission loss reimbursement as per the relevant; (3a) PPA Tariff grossed up by 2.5% to include transmission loss reimbursement as per the relevant PPA; </a:t>
          </a:r>
        </a:p>
        <a:p>
          <a:r>
            <a:rPr lang="en-US" sz="1000"/>
            <a:t>(4) 10 years from date of first supply in Sep'20; (5) HT tariff refers to high tension tariff, which is the tariff charged by the electricity distribution companies for power supplied at high voltage. The electricity distribution company typically</a:t>
          </a:r>
          <a:r>
            <a:rPr lang="en-US" sz="1000" baseline="0"/>
            <a:t> </a:t>
          </a:r>
          <a:r>
            <a:rPr lang="en-US" sz="1000"/>
            <a:t>publishes a tariff chart which categorizes tariffs at different voltage levels. The rate varies from state to state and from year-to-year; (6) Any income tax paid by us is “passed-through” to our offtakers in addition to the tariff; (7) Hybrid Projects; (8) CoD for operational projects are weighted average CODs; for under development projects are management estimated CoDs; (9)</a:t>
          </a:r>
          <a:r>
            <a:rPr lang="en-US" sz="1000" baseline="0"/>
            <a:t> Acquisitions</a:t>
          </a:r>
          <a:endParaRPr 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J103"/>
  <sheetViews>
    <sheetView showGridLines="0" zoomScale="70" zoomScaleNormal="80" workbookViewId="0">
      <pane xSplit="13" ySplit="7" topLeftCell="N64" activePane="bottomRight" state="frozen"/>
      <selection activeCell="C211" sqref="C211"/>
      <selection pane="topRight" activeCell="C211" sqref="C211"/>
      <selection pane="bottomLeft" activeCell="C211" sqref="C211"/>
      <selection pane="bottomRight" activeCell="C79" sqref="C79"/>
    </sheetView>
  </sheetViews>
  <sheetFormatPr defaultColWidth="9.140625" defaultRowHeight="15" x14ac:dyDescent="0.25"/>
  <cols>
    <col min="1" max="1" width="1.85546875" style="41" customWidth="1"/>
    <col min="2" max="2" width="45.140625" style="41" customWidth="1"/>
    <col min="3" max="10" width="10.5703125" style="41" customWidth="1"/>
    <col min="11" max="11" width="1.85546875" style="41" customWidth="1"/>
    <col min="12" max="12" width="3.85546875" style="35" customWidth="1"/>
    <col min="13" max="13" width="60.28515625" style="35" customWidth="1"/>
    <col min="14" max="14" width="15.140625" style="35" customWidth="1"/>
    <col min="15" max="15" width="17.42578125" style="35" customWidth="1"/>
    <col min="16" max="16" width="20.7109375" style="1" customWidth="1"/>
    <col min="17" max="17" width="0.85546875" style="35" customWidth="1"/>
    <col min="18" max="18" width="20.7109375" style="1" customWidth="1"/>
    <col min="19" max="19" width="0.85546875" style="35" customWidth="1"/>
    <col min="20" max="20" width="20.7109375" style="1" customWidth="1"/>
    <col min="21" max="21" width="0.85546875" style="35" customWidth="1"/>
    <col min="22" max="22" width="20.7109375" style="1" customWidth="1"/>
    <col min="23" max="23" width="0.85546875" style="35" customWidth="1"/>
    <col min="24" max="24" width="20.7109375" style="1" customWidth="1"/>
    <col min="25" max="25" width="0.85546875" style="35" customWidth="1"/>
    <col min="26" max="26" width="20.7109375" style="1" customWidth="1"/>
    <col min="27" max="27" width="0.85546875" style="35" customWidth="1"/>
    <col min="28" max="28" width="20.7109375" style="1" customWidth="1"/>
    <col min="29" max="29" width="0.85546875" style="35" customWidth="1"/>
    <col min="30" max="30" width="20.7109375" style="1" customWidth="1"/>
    <col min="31" max="31" width="0.85546875" style="35" customWidth="1"/>
    <col min="32" max="32" width="20.7109375" style="1" customWidth="1"/>
    <col min="33" max="33" width="0.85546875" style="35" customWidth="1"/>
    <col min="34" max="34" width="20.7109375" style="35" customWidth="1"/>
    <col min="35" max="35" width="0.85546875" style="35" customWidth="1"/>
    <col min="36" max="36" width="20.7109375" style="35" customWidth="1"/>
    <col min="37" max="37" width="9.140625" style="35" customWidth="1"/>
    <col min="38" max="16384" width="9.140625" style="35"/>
  </cols>
  <sheetData>
    <row r="1" spans="1:36" x14ac:dyDescent="0.25">
      <c r="B1" s="120" t="s">
        <v>530</v>
      </c>
      <c r="E1" s="120"/>
    </row>
    <row r="3" spans="1:36" x14ac:dyDescent="0.25">
      <c r="A3" s="35"/>
      <c r="B3" s="100" t="s">
        <v>254</v>
      </c>
      <c r="C3" s="36"/>
      <c r="D3" s="36"/>
      <c r="E3" s="100"/>
      <c r="F3" s="36"/>
      <c r="G3" s="36"/>
      <c r="H3" s="36"/>
      <c r="I3" s="36"/>
      <c r="J3" s="36"/>
      <c r="K3" s="36"/>
      <c r="M3" s="37"/>
      <c r="N3" s="37"/>
      <c r="O3" s="37"/>
      <c r="P3" s="3"/>
      <c r="Q3" s="39"/>
      <c r="R3" s="3"/>
      <c r="S3" s="39"/>
      <c r="T3" s="3"/>
      <c r="U3" s="39"/>
      <c r="V3" s="3"/>
      <c r="W3" s="39"/>
      <c r="X3" s="3"/>
      <c r="Y3" s="39"/>
      <c r="Z3" s="3"/>
      <c r="AA3" s="39"/>
      <c r="AB3" s="3"/>
      <c r="AC3" s="39"/>
      <c r="AD3" s="3"/>
      <c r="AE3" s="39"/>
      <c r="AF3" s="3"/>
    </row>
    <row r="4" spans="1:36" x14ac:dyDescent="0.25">
      <c r="A4" s="35"/>
      <c r="B4" s="100" t="s">
        <v>296</v>
      </c>
      <c r="E4" s="100"/>
      <c r="M4" s="36"/>
      <c r="N4" s="36"/>
      <c r="O4" s="36"/>
      <c r="Q4" s="2"/>
      <c r="S4" s="2"/>
      <c r="U4" s="2"/>
      <c r="W4" s="2"/>
      <c r="Y4" s="2"/>
      <c r="AA4" s="2"/>
      <c r="AC4" s="2"/>
      <c r="AE4" s="2"/>
    </row>
    <row r="5" spans="1:36" x14ac:dyDescent="0.25">
      <c r="A5" s="35"/>
      <c r="B5" s="43" t="s">
        <v>0</v>
      </c>
      <c r="E5" s="43"/>
      <c r="M5" s="36"/>
      <c r="N5" s="36"/>
      <c r="O5" s="36"/>
    </row>
    <row r="6" spans="1:36" ht="15" customHeight="1" x14ac:dyDescent="0.25">
      <c r="L6" s="119"/>
      <c r="M6" s="119"/>
      <c r="N6" s="119"/>
      <c r="O6" s="119"/>
    </row>
    <row r="7" spans="1:36" ht="48" customHeight="1" x14ac:dyDescent="0.25">
      <c r="C7" s="4" t="s">
        <v>590</v>
      </c>
      <c r="D7" s="4" t="s">
        <v>581</v>
      </c>
      <c r="E7" s="4" t="s">
        <v>578</v>
      </c>
      <c r="F7" s="4" t="s">
        <v>569</v>
      </c>
      <c r="G7" s="4" t="s">
        <v>552</v>
      </c>
      <c r="H7" s="4" t="s">
        <v>531</v>
      </c>
      <c r="I7" s="4" t="s">
        <v>406</v>
      </c>
      <c r="L7" s="235"/>
      <c r="M7" s="235"/>
      <c r="N7" s="4" t="s">
        <v>524</v>
      </c>
      <c r="O7" s="4" t="s">
        <v>513</v>
      </c>
      <c r="P7" s="4" t="s">
        <v>487</v>
      </c>
      <c r="Q7" s="44"/>
      <c r="R7" s="4" t="s">
        <v>406</v>
      </c>
      <c r="S7" s="44"/>
      <c r="T7" s="4" t="s">
        <v>405</v>
      </c>
      <c r="U7" s="44"/>
      <c r="V7" s="4" t="s">
        <v>398</v>
      </c>
      <c r="W7" s="44"/>
      <c r="X7" s="4" t="s">
        <v>361</v>
      </c>
      <c r="Y7" s="44"/>
      <c r="Z7" s="4" t="s">
        <v>399</v>
      </c>
      <c r="AA7" s="44"/>
      <c r="AB7" s="4" t="s">
        <v>400</v>
      </c>
      <c r="AC7" s="44"/>
      <c r="AD7" s="4" t="s">
        <v>401</v>
      </c>
      <c r="AE7" s="44"/>
      <c r="AF7" s="4" t="s">
        <v>402</v>
      </c>
      <c r="AH7" s="4" t="s">
        <v>403</v>
      </c>
      <c r="AJ7" s="4" t="s">
        <v>404</v>
      </c>
    </row>
    <row r="8" spans="1:36" ht="15" customHeight="1" x14ac:dyDescent="0.25">
      <c r="C8" s="118" t="s">
        <v>251</v>
      </c>
      <c r="D8" s="118" t="s">
        <v>252</v>
      </c>
      <c r="E8" s="118" t="s">
        <v>251</v>
      </c>
      <c r="F8" s="118" t="s">
        <v>251</v>
      </c>
      <c r="G8" s="118" t="s">
        <v>251</v>
      </c>
      <c r="H8" s="118" t="s">
        <v>252</v>
      </c>
      <c r="I8" s="118" t="s">
        <v>252</v>
      </c>
      <c r="N8" s="118" t="s">
        <v>251</v>
      </c>
      <c r="O8" s="118" t="s">
        <v>251</v>
      </c>
      <c r="P8" s="118" t="s">
        <v>251</v>
      </c>
      <c r="Q8" s="1"/>
      <c r="R8" s="118" t="s">
        <v>252</v>
      </c>
      <c r="S8" s="1"/>
      <c r="T8" s="118" t="s">
        <v>251</v>
      </c>
      <c r="U8" s="1"/>
      <c r="V8" s="118" t="s">
        <v>251</v>
      </c>
      <c r="W8" s="1"/>
      <c r="X8" s="118" t="s">
        <v>251</v>
      </c>
      <c r="Y8" s="1"/>
      <c r="Z8" s="118" t="s">
        <v>252</v>
      </c>
      <c r="AA8" s="1"/>
      <c r="AB8" s="118" t="s">
        <v>251</v>
      </c>
      <c r="AC8" s="1"/>
      <c r="AD8" s="118" t="s">
        <v>251</v>
      </c>
      <c r="AE8" s="1"/>
      <c r="AF8" s="118" t="s">
        <v>252</v>
      </c>
      <c r="AH8" s="118" t="s">
        <v>252</v>
      </c>
      <c r="AJ8" s="118" t="s">
        <v>252</v>
      </c>
    </row>
    <row r="9" spans="1:36" ht="15" customHeight="1" x14ac:dyDescent="0.25">
      <c r="C9" s="35"/>
      <c r="D9" s="35"/>
      <c r="F9" s="35"/>
      <c r="G9" s="35"/>
      <c r="H9" s="35"/>
      <c r="I9" s="35"/>
      <c r="P9" s="5"/>
      <c r="Q9" s="1"/>
      <c r="R9" s="5"/>
      <c r="S9" s="1"/>
      <c r="T9" s="5"/>
      <c r="U9" s="1"/>
      <c r="V9" s="5"/>
      <c r="W9" s="1"/>
      <c r="X9" s="5"/>
      <c r="Y9" s="1"/>
      <c r="Z9" s="5"/>
      <c r="AA9" s="1"/>
      <c r="AB9" s="5"/>
      <c r="AC9" s="1"/>
      <c r="AD9" s="5"/>
      <c r="AE9" s="1"/>
      <c r="AF9" s="14"/>
    </row>
    <row r="10" spans="1:36" x14ac:dyDescent="0.25">
      <c r="B10" s="45" t="s">
        <v>1</v>
      </c>
      <c r="C10" s="46"/>
      <c r="D10" s="46"/>
      <c r="E10" s="45"/>
      <c r="F10" s="46"/>
      <c r="G10" s="46"/>
      <c r="H10" s="46"/>
      <c r="I10" s="46"/>
      <c r="L10" s="45" t="s">
        <v>1</v>
      </c>
      <c r="M10" s="46"/>
      <c r="N10" s="46"/>
      <c r="O10" s="46"/>
      <c r="P10" s="5"/>
      <c r="R10" s="5"/>
      <c r="T10" s="5"/>
      <c r="V10" s="5"/>
      <c r="X10" s="5"/>
      <c r="Z10" s="5"/>
      <c r="AB10" s="5"/>
      <c r="AD10" s="5"/>
    </row>
    <row r="11" spans="1:36" ht="8.25" customHeight="1" x14ac:dyDescent="0.25">
      <c r="B11" s="35"/>
      <c r="C11" s="35"/>
      <c r="D11" s="35"/>
      <c r="E11" s="35"/>
      <c r="F11" s="35"/>
      <c r="G11" s="35"/>
      <c r="H11" s="35"/>
      <c r="I11" s="35"/>
      <c r="Q11" s="43"/>
      <c r="S11" s="43"/>
      <c r="U11" s="43"/>
      <c r="W11" s="43"/>
      <c r="Y11" s="43"/>
      <c r="AA11" s="43"/>
      <c r="AC11" s="43"/>
      <c r="AE11" s="43"/>
    </row>
    <row r="12" spans="1:36" ht="15" customHeight="1" x14ac:dyDescent="0.25">
      <c r="A12" s="47"/>
      <c r="B12" s="46" t="s">
        <v>2</v>
      </c>
      <c r="C12" s="46"/>
      <c r="D12" s="46"/>
      <c r="E12" s="46"/>
      <c r="F12" s="46"/>
      <c r="G12" s="46"/>
      <c r="H12" s="46"/>
      <c r="I12" s="46"/>
      <c r="J12" s="47"/>
      <c r="K12" s="47"/>
      <c r="L12" s="46" t="s">
        <v>2</v>
      </c>
      <c r="M12" s="46"/>
      <c r="N12" s="46"/>
      <c r="O12" s="46"/>
      <c r="P12" s="5"/>
      <c r="Q12" s="43"/>
      <c r="R12" s="5"/>
      <c r="S12" s="43"/>
      <c r="T12" s="5"/>
      <c r="U12" s="43"/>
      <c r="V12" s="5"/>
      <c r="W12" s="43"/>
      <c r="X12" s="5"/>
      <c r="Y12" s="43"/>
      <c r="Z12" s="5"/>
      <c r="AA12" s="43"/>
      <c r="AB12" s="5"/>
      <c r="AC12" s="43"/>
      <c r="AD12" s="5"/>
      <c r="AE12" s="43"/>
    </row>
    <row r="13" spans="1:36" x14ac:dyDescent="0.25">
      <c r="A13" s="49"/>
      <c r="B13" s="35" t="s">
        <v>3</v>
      </c>
      <c r="C13" s="5">
        <v>735678683796.74487</v>
      </c>
      <c r="D13" s="5">
        <v>747066286056.104</v>
      </c>
      <c r="E13" s="230">
        <v>748004.13765119901</v>
      </c>
      <c r="F13" s="5">
        <v>727595632196.0647</v>
      </c>
      <c r="G13" s="5">
        <v>698269120637.66199</v>
      </c>
      <c r="H13" s="5">
        <f>678600*10^6</f>
        <v>678600000000</v>
      </c>
      <c r="I13" s="5">
        <v>538355005946.71362</v>
      </c>
      <c r="J13" s="49"/>
      <c r="K13" s="49"/>
      <c r="L13" s="35" t="s">
        <v>3</v>
      </c>
      <c r="N13" s="5">
        <v>645072750711.80994</v>
      </c>
      <c r="O13" s="5">
        <v>592779855670.79053</v>
      </c>
      <c r="P13" s="5">
        <v>565498423159.5094</v>
      </c>
      <c r="Q13" s="43"/>
      <c r="R13" s="5">
        <v>538355005946.71362</v>
      </c>
      <c r="S13" s="43"/>
      <c r="T13" s="5">
        <v>488137499575.74017</v>
      </c>
      <c r="U13" s="43"/>
      <c r="V13" s="5">
        <v>455901439466.83472</v>
      </c>
      <c r="W13" s="43"/>
      <c r="X13" s="5">
        <v>440602823781.53735</v>
      </c>
      <c r="Y13" s="43"/>
      <c r="Z13" s="5">
        <v>437593011248.52734</v>
      </c>
      <c r="AA13" s="43"/>
      <c r="AB13" s="5">
        <v>418011909306.52472</v>
      </c>
      <c r="AC13" s="43"/>
      <c r="AD13" s="5">
        <v>389792163457.61981</v>
      </c>
      <c r="AE13" s="43"/>
      <c r="AF13" s="5">
        <v>342035821033.21777</v>
      </c>
      <c r="AG13" s="116"/>
      <c r="AH13" s="5">
        <v>340644556304.26544</v>
      </c>
      <c r="AI13" s="116"/>
      <c r="AJ13" s="5">
        <v>299401548988.04468</v>
      </c>
    </row>
    <row r="14" spans="1:36" x14ac:dyDescent="0.25">
      <c r="A14" s="49"/>
      <c r="B14" s="35" t="s">
        <v>4</v>
      </c>
      <c r="C14" s="5">
        <v>36359382502.446587</v>
      </c>
      <c r="D14" s="5">
        <v>36217424115.650505</v>
      </c>
      <c r="E14" s="230">
        <v>36776.331737066183</v>
      </c>
      <c r="F14" s="5">
        <v>37130431811.551437</v>
      </c>
      <c r="G14" s="5">
        <v>37500335895.750771</v>
      </c>
      <c r="H14" s="5">
        <v>37883398279.086609</v>
      </c>
      <c r="I14" s="5">
        <v>38594918111.381386</v>
      </c>
      <c r="J14" s="49"/>
      <c r="K14" s="49"/>
      <c r="L14" s="35" t="s">
        <v>4</v>
      </c>
      <c r="N14" s="5">
        <v>37640355619.512459</v>
      </c>
      <c r="O14" s="5">
        <v>38010489359.874741</v>
      </c>
      <c r="P14" s="5">
        <v>38266417497.127029</v>
      </c>
      <c r="Q14" s="50"/>
      <c r="R14" s="5">
        <v>38594918111.381386</v>
      </c>
      <c r="S14" s="50"/>
      <c r="T14" s="5">
        <v>38894759770.182304</v>
      </c>
      <c r="U14" s="50"/>
      <c r="V14" s="5">
        <v>39065210600.547836</v>
      </c>
      <c r="W14" s="50"/>
      <c r="X14" s="5">
        <v>39375001987.747711</v>
      </c>
      <c r="Y14" s="50"/>
      <c r="Z14" s="5">
        <v>39723709531.413567</v>
      </c>
      <c r="AA14" s="50"/>
      <c r="AB14" s="5">
        <v>40176683958.158752</v>
      </c>
      <c r="AC14" s="50"/>
      <c r="AD14" s="5">
        <v>35826207349.641396</v>
      </c>
      <c r="AE14" s="50"/>
      <c r="AF14" s="5">
        <v>36410498058.294418</v>
      </c>
      <c r="AG14" s="116"/>
      <c r="AH14" s="5">
        <v>35970118070.915352</v>
      </c>
      <c r="AI14" s="116"/>
      <c r="AJ14" s="5">
        <v>37064341422.355354</v>
      </c>
    </row>
    <row r="15" spans="1:36" x14ac:dyDescent="0.25">
      <c r="A15" s="51"/>
      <c r="B15" s="35" t="s">
        <v>5</v>
      </c>
      <c r="C15" s="5">
        <v>14375519117.547009</v>
      </c>
      <c r="D15" s="5">
        <v>14506445258.5389</v>
      </c>
      <c r="E15" s="230">
        <v>14507.919019056291</v>
      </c>
      <c r="F15" s="5">
        <v>13204865073.413399</v>
      </c>
      <c r="G15" s="5">
        <v>13217566625.390501</v>
      </c>
      <c r="H15" s="5">
        <v>12897629700.794947</v>
      </c>
      <c r="I15" s="5">
        <v>10617638077.460112</v>
      </c>
      <c r="J15" s="51"/>
      <c r="K15" s="51"/>
      <c r="L15" s="35" t="s">
        <v>5</v>
      </c>
      <c r="N15" s="5">
        <v>11404163013.099398</v>
      </c>
      <c r="O15" s="5">
        <v>10864007148.786501</v>
      </c>
      <c r="P15" s="5">
        <v>10669310604.083601</v>
      </c>
      <c r="Q15" s="50"/>
      <c r="R15" s="5">
        <v>10617638077.460112</v>
      </c>
      <c r="S15" s="50"/>
      <c r="T15" s="5">
        <v>9205255314.7398472</v>
      </c>
      <c r="U15" s="50"/>
      <c r="V15" s="5">
        <v>8109809729.7165623</v>
      </c>
      <c r="W15" s="50"/>
      <c r="X15" s="5">
        <v>7884095128.7615566</v>
      </c>
      <c r="Y15" s="50"/>
      <c r="Z15" s="5">
        <v>7494994872.234333</v>
      </c>
      <c r="AA15" s="50"/>
      <c r="AB15" s="5">
        <v>5677796350.4938927</v>
      </c>
      <c r="AC15" s="50"/>
      <c r="AD15" s="5">
        <v>4366931874.048068</v>
      </c>
      <c r="AE15" s="50"/>
      <c r="AF15" s="5">
        <v>4264169176.7602892</v>
      </c>
      <c r="AG15" s="116"/>
      <c r="AH15" s="5">
        <v>4655236916.660059</v>
      </c>
      <c r="AI15" s="116"/>
      <c r="AJ15" s="5">
        <v>4446520118.0615339</v>
      </c>
    </row>
    <row r="16" spans="1:36" x14ac:dyDescent="0.25">
      <c r="A16" s="51"/>
      <c r="B16" s="35" t="s">
        <v>6</v>
      </c>
      <c r="C16" s="5">
        <v>378698234.60220015</v>
      </c>
      <c r="D16" s="5">
        <v>380586545.87220001</v>
      </c>
      <c r="E16" s="230">
        <v>4122.9548322702403</v>
      </c>
      <c r="F16" s="5">
        <v>4223487113.8738465</v>
      </c>
      <c r="G16" s="5">
        <v>2818001393.3348117</v>
      </c>
      <c r="H16" s="5">
        <v>2862188173.3348117</v>
      </c>
      <c r="I16" s="5">
        <v>3007139096.2199998</v>
      </c>
      <c r="J16" s="51"/>
      <c r="K16" s="51"/>
      <c r="L16" s="35" t="s">
        <v>6</v>
      </c>
      <c r="N16" s="5">
        <v>2882784555.6170506</v>
      </c>
      <c r="O16" s="5">
        <v>2932606589.3573213</v>
      </c>
      <c r="P16" s="5">
        <v>2971001766.3390422</v>
      </c>
      <c r="Q16" s="50"/>
      <c r="R16" s="5">
        <v>3007139096.2199998</v>
      </c>
      <c r="S16" s="50"/>
      <c r="T16" s="5">
        <v>2914627712</v>
      </c>
      <c r="U16" s="50"/>
      <c r="V16" s="5">
        <v>0</v>
      </c>
      <c r="W16" s="50"/>
      <c r="X16" s="5">
        <v>0</v>
      </c>
      <c r="Y16" s="50"/>
      <c r="Z16" s="5">
        <v>0</v>
      </c>
      <c r="AA16" s="50"/>
      <c r="AB16" s="5">
        <v>0</v>
      </c>
      <c r="AC16" s="50"/>
      <c r="AD16" s="5">
        <v>0</v>
      </c>
      <c r="AE16" s="50"/>
      <c r="AF16" s="5">
        <v>0</v>
      </c>
      <c r="AG16" s="116"/>
      <c r="AH16" s="5">
        <v>523778107.98398846</v>
      </c>
      <c r="AI16" s="116"/>
      <c r="AJ16" s="5">
        <v>489160221.8026135</v>
      </c>
    </row>
    <row r="17" spans="1:36" x14ac:dyDescent="0.25">
      <c r="A17" s="49"/>
      <c r="B17" s="35" t="s">
        <v>9</v>
      </c>
      <c r="C17" s="5">
        <v>7664896979.2808485</v>
      </c>
      <c r="D17" s="5">
        <v>7528420466.9755001</v>
      </c>
      <c r="E17" s="230">
        <v>7499.0239666127009</v>
      </c>
      <c r="F17" s="5">
        <v>7800279988.9099998</v>
      </c>
      <c r="G17" s="5">
        <v>7738411228.7119999</v>
      </c>
      <c r="H17" s="5">
        <v>8086925031.6946011</v>
      </c>
      <c r="I17" s="5">
        <v>9071793495.4239979</v>
      </c>
      <c r="J17" s="49"/>
      <c r="K17" s="49"/>
      <c r="L17" s="35" t="s">
        <v>7</v>
      </c>
      <c r="N17" s="5"/>
      <c r="O17" s="5"/>
      <c r="P17" s="5"/>
      <c r="Q17" s="52"/>
      <c r="R17" s="5"/>
      <c r="S17" s="52"/>
      <c r="T17" s="5"/>
      <c r="U17" s="52"/>
      <c r="V17" s="5"/>
      <c r="W17" s="52"/>
      <c r="X17" s="5"/>
      <c r="Y17" s="52"/>
      <c r="Z17" s="5"/>
      <c r="AA17" s="52"/>
      <c r="AB17" s="5"/>
      <c r="AC17" s="52"/>
      <c r="AD17" s="5"/>
      <c r="AE17" s="52"/>
      <c r="AF17" s="5"/>
    </row>
    <row r="18" spans="1:36" x14ac:dyDescent="0.25">
      <c r="A18" s="53"/>
      <c r="B18" s="35" t="s">
        <v>8</v>
      </c>
      <c r="C18" s="5">
        <v>1214129559.1654999</v>
      </c>
      <c r="D18" s="5">
        <v>1078373599.4112</v>
      </c>
      <c r="E18" s="230">
        <v>924.02453803098695</v>
      </c>
      <c r="F18" s="5">
        <v>934592088.65238702</v>
      </c>
      <c r="G18" s="5">
        <v>912481655.46581697</v>
      </c>
      <c r="H18" s="5">
        <v>822858079.11377859</v>
      </c>
      <c r="I18" s="5">
        <v>466070197.36921597</v>
      </c>
      <c r="J18" s="53"/>
      <c r="K18" s="53"/>
      <c r="M18" s="35" t="s">
        <v>8</v>
      </c>
      <c r="N18" s="5">
        <v>622350298.60000002</v>
      </c>
      <c r="O18" s="5">
        <v>592020487.68739998</v>
      </c>
      <c r="P18" s="5">
        <v>482583780.82160598</v>
      </c>
      <c r="Q18" s="50"/>
      <c r="R18" s="5">
        <v>466070197.36921597</v>
      </c>
      <c r="S18" s="50"/>
      <c r="T18" s="5">
        <v>363265952.9958353</v>
      </c>
      <c r="U18" s="50"/>
      <c r="V18" s="5">
        <v>352532700.88395536</v>
      </c>
      <c r="W18" s="50"/>
      <c r="X18" s="5">
        <v>0</v>
      </c>
      <c r="Y18" s="50"/>
      <c r="Z18" s="5">
        <v>0</v>
      </c>
      <c r="AA18" s="50"/>
      <c r="AB18" s="5">
        <v>0</v>
      </c>
      <c r="AC18" s="50"/>
      <c r="AD18" s="5">
        <v>0</v>
      </c>
      <c r="AE18" s="50"/>
      <c r="AF18" s="5">
        <v>0</v>
      </c>
      <c r="AG18" s="116"/>
      <c r="AH18" s="5">
        <v>624355000</v>
      </c>
      <c r="AI18" s="116"/>
      <c r="AJ18" s="5">
        <v>407925000</v>
      </c>
    </row>
    <row r="19" spans="1:36" x14ac:dyDescent="0.25">
      <c r="A19" s="53"/>
      <c r="B19" s="35" t="s">
        <v>532</v>
      </c>
      <c r="C19" s="5">
        <v>6397098852.3500004</v>
      </c>
      <c r="D19" s="5">
        <v>6497495794.5464802</v>
      </c>
      <c r="E19" s="230">
        <v>10841.6739721623</v>
      </c>
      <c r="F19" s="5">
        <v>7385937538.8160057</v>
      </c>
      <c r="G19" s="5">
        <v>6609756192.8561964</v>
      </c>
      <c r="H19" s="5">
        <f>6800761548.9834-10^6</f>
        <v>6799761548.9834003</v>
      </c>
      <c r="I19" s="5">
        <v>6472570387.8629999</v>
      </c>
      <c r="J19" s="53"/>
      <c r="K19" s="53"/>
      <c r="M19" s="35" t="s">
        <v>20</v>
      </c>
      <c r="N19" s="5">
        <v>3896000000</v>
      </c>
      <c r="O19" s="5">
        <v>4151690156.5135999</v>
      </c>
      <c r="P19" s="5">
        <v>3501965129.29</v>
      </c>
      <c r="Q19" s="50"/>
      <c r="R19" s="5">
        <v>4216127288.9230003</v>
      </c>
      <c r="S19" s="50"/>
      <c r="T19" s="5">
        <v>0</v>
      </c>
      <c r="U19" s="50"/>
      <c r="V19" s="5"/>
      <c r="W19" s="50"/>
      <c r="X19" s="5"/>
      <c r="Y19" s="50"/>
      <c r="Z19" s="5"/>
      <c r="AA19" s="50"/>
      <c r="AB19" s="5"/>
      <c r="AC19" s="50"/>
      <c r="AD19" s="5"/>
      <c r="AE19" s="50"/>
      <c r="AF19" s="5"/>
      <c r="AG19" s="116"/>
      <c r="AH19" s="5"/>
      <c r="AI19" s="116"/>
      <c r="AJ19" s="5"/>
    </row>
    <row r="20" spans="1:36" x14ac:dyDescent="0.25">
      <c r="A20" s="53"/>
      <c r="B20" s="35" t="s">
        <v>12</v>
      </c>
      <c r="C20" s="5">
        <v>7897996140.0065994</v>
      </c>
      <c r="D20" s="5">
        <v>7073190574.3800001</v>
      </c>
      <c r="E20" s="230">
        <v>6492.9340913721298</v>
      </c>
      <c r="F20" s="5">
        <v>6428125033.9231625</v>
      </c>
      <c r="G20" s="5">
        <v>6017113229.9854708</v>
      </c>
      <c r="H20" s="5">
        <v>5555665963.0000038</v>
      </c>
      <c r="I20" s="5">
        <v>4644958709.9999962</v>
      </c>
      <c r="J20" s="53"/>
      <c r="K20" s="53"/>
      <c r="M20" s="35" t="s">
        <v>9</v>
      </c>
      <c r="N20" s="5">
        <v>8736754967.2131958</v>
      </c>
      <c r="O20" s="5">
        <v>9134333233.4500008</v>
      </c>
      <c r="P20" s="5">
        <v>9012953302.4930038</v>
      </c>
      <c r="Q20" s="50"/>
      <c r="R20" s="5">
        <v>9071793495.4239979</v>
      </c>
      <c r="S20" s="50"/>
      <c r="T20" s="5">
        <v>9030570467.6883965</v>
      </c>
      <c r="U20" s="50"/>
      <c r="V20" s="5">
        <v>5177614548.5944109</v>
      </c>
      <c r="W20" s="50"/>
      <c r="X20" s="5">
        <v>1005616983</v>
      </c>
      <c r="Y20" s="50"/>
      <c r="Z20" s="5">
        <v>1005616983</v>
      </c>
      <c r="AA20" s="50"/>
      <c r="AB20" s="5">
        <v>2141705412.79</v>
      </c>
      <c r="AC20" s="50"/>
      <c r="AD20" s="5">
        <v>1151963509.6900001</v>
      </c>
      <c r="AE20" s="50"/>
      <c r="AF20" s="5">
        <v>1178242719.5799999</v>
      </c>
      <c r="AG20" s="116"/>
      <c r="AH20" s="5">
        <v>0</v>
      </c>
      <c r="AI20" s="116"/>
      <c r="AJ20" s="5">
        <v>0</v>
      </c>
    </row>
    <row r="21" spans="1:36" x14ac:dyDescent="0.25">
      <c r="A21" s="53"/>
      <c r="B21" s="35" t="s">
        <v>533</v>
      </c>
      <c r="C21" s="5">
        <v>7084055202.5184278</v>
      </c>
      <c r="D21" s="5">
        <v>8769661606.3968105</v>
      </c>
      <c r="E21" s="230">
        <v>6882.5809811752179</v>
      </c>
      <c r="F21" s="5">
        <v>6773364874.4753494</v>
      </c>
      <c r="G21" s="5">
        <v>6612581345.2471151</v>
      </c>
      <c r="H21" s="5">
        <f>8172*10^6</f>
        <v>8172000000</v>
      </c>
      <c r="I21" s="5">
        <v>5775596464.4242306</v>
      </c>
      <c r="J21" s="53"/>
      <c r="K21" s="53"/>
      <c r="M21" s="35" t="s">
        <v>10</v>
      </c>
      <c r="N21" s="5">
        <v>381637491.71173769</v>
      </c>
      <c r="O21" s="5">
        <v>265938828.53145769</v>
      </c>
      <c r="P21" s="5">
        <v>395192810.50999999</v>
      </c>
      <c r="Q21" s="54"/>
      <c r="R21" s="5">
        <v>356397608.24000001</v>
      </c>
      <c r="S21" s="54"/>
      <c r="T21" s="5">
        <v>269870811.00975287</v>
      </c>
      <c r="U21" s="54"/>
      <c r="V21" s="5">
        <v>127742403.18999997</v>
      </c>
      <c r="W21" s="54"/>
      <c r="X21" s="5">
        <v>125621133.75999999</v>
      </c>
      <c r="Y21" s="54"/>
      <c r="Z21" s="5">
        <v>164471249.38776389</v>
      </c>
      <c r="AA21" s="54"/>
      <c r="AB21" s="5">
        <v>124598512.84166113</v>
      </c>
      <c r="AC21" s="54"/>
      <c r="AD21" s="5">
        <v>123180154.09266134</v>
      </c>
      <c r="AE21" s="54"/>
      <c r="AF21" s="5">
        <v>140048013.39999947</v>
      </c>
      <c r="AG21" s="116"/>
      <c r="AH21" s="5">
        <v>126166379.09999999</v>
      </c>
      <c r="AI21" s="116"/>
      <c r="AJ21" s="5">
        <v>77192302.701389998</v>
      </c>
    </row>
    <row r="22" spans="1:36" ht="15" customHeight="1" x14ac:dyDescent="0.25">
      <c r="B22" s="35" t="s">
        <v>415</v>
      </c>
      <c r="C22" s="5">
        <v>2837095682.0700002</v>
      </c>
      <c r="D22" s="5">
        <v>2723851343.46</v>
      </c>
      <c r="E22" s="230">
        <v>1876.3201971108647</v>
      </c>
      <c r="F22" s="5">
        <v>1752697191.3806646</v>
      </c>
      <c r="G22" s="5">
        <v>1679116907.5208647</v>
      </c>
      <c r="H22" s="5">
        <v>1499972342.5148647</v>
      </c>
      <c r="I22" s="5">
        <v>7138806569.9231005</v>
      </c>
      <c r="M22" s="35" t="s">
        <v>11</v>
      </c>
      <c r="N22" s="5">
        <v>2310225008.6199999</v>
      </c>
      <c r="O22" s="5">
        <v>2192036697.619997</v>
      </c>
      <c r="P22" s="5">
        <v>1875837676.98</v>
      </c>
      <c r="Q22" s="54"/>
      <c r="R22" s="5">
        <v>1901045490.7000003</v>
      </c>
      <c r="S22" s="54"/>
      <c r="T22" s="5">
        <v>2817309573.7799997</v>
      </c>
      <c r="U22" s="54"/>
      <c r="V22" s="5">
        <v>2993407944.0100002</v>
      </c>
      <c r="W22" s="54"/>
      <c r="X22" s="5">
        <v>2695260382.4299998</v>
      </c>
      <c r="Y22" s="54"/>
      <c r="Z22" s="5">
        <v>3254124197.1400003</v>
      </c>
      <c r="AA22" s="54"/>
      <c r="AB22" s="5">
        <v>331210546.67000049</v>
      </c>
      <c r="AC22" s="54"/>
      <c r="AD22" s="5">
        <v>10726045883.73</v>
      </c>
      <c r="AE22" s="54"/>
      <c r="AF22" s="5">
        <v>2998734751.1399999</v>
      </c>
      <c r="AG22" s="116"/>
      <c r="AH22" s="5">
        <v>142094219.49000072</v>
      </c>
      <c r="AI22" s="116"/>
      <c r="AJ22" s="5">
        <v>92306044.689999759</v>
      </c>
    </row>
    <row r="23" spans="1:36" ht="15" customHeight="1" x14ac:dyDescent="0.25">
      <c r="A23" s="49"/>
      <c r="B23" s="35" t="s">
        <v>534</v>
      </c>
      <c r="C23" s="5">
        <v>9487413944.8074741</v>
      </c>
      <c r="D23" s="5">
        <v>9577627504.5413284</v>
      </c>
      <c r="E23" s="230">
        <v>9191.8044853261472</v>
      </c>
      <c r="F23" s="5">
        <v>8626603937.9207153</v>
      </c>
      <c r="G23" s="5">
        <v>9763479442.0897236</v>
      </c>
      <c r="H23" s="5">
        <v>6317173487.9705496</v>
      </c>
      <c r="I23" s="5">
        <v>12480834472.865881</v>
      </c>
      <c r="J23" s="49"/>
      <c r="K23" s="49"/>
      <c r="L23" s="35" t="s">
        <v>12</v>
      </c>
      <c r="N23" s="5">
        <v>5727201652.0025835</v>
      </c>
      <c r="O23" s="5">
        <v>5886001372.0000038</v>
      </c>
      <c r="P23" s="5">
        <v>4578955146.3790903</v>
      </c>
      <c r="Q23" s="50"/>
      <c r="R23" s="5">
        <v>4644958709.9999962</v>
      </c>
      <c r="S23" s="50"/>
      <c r="T23" s="5">
        <v>1287595344.6071098</v>
      </c>
      <c r="U23" s="50"/>
      <c r="V23" s="5">
        <v>2854548560.389348</v>
      </c>
      <c r="W23" s="50"/>
      <c r="X23" s="5">
        <v>1410393503.9969997</v>
      </c>
      <c r="Y23" s="50"/>
      <c r="Z23" s="5">
        <v>1062340541.562583</v>
      </c>
      <c r="AA23" s="50"/>
      <c r="AB23" s="5">
        <v>848972275.43030047</v>
      </c>
      <c r="AC23" s="50"/>
      <c r="AD23" s="5">
        <v>1853278385.7387457</v>
      </c>
      <c r="AE23" s="50"/>
      <c r="AF23" s="5">
        <v>1611059471.3916664</v>
      </c>
      <c r="AG23" s="116"/>
      <c r="AH23" s="5">
        <v>1465281827.8780861</v>
      </c>
      <c r="AI23" s="116"/>
      <c r="AJ23" s="5">
        <v>1737129967.5190856</v>
      </c>
    </row>
    <row r="24" spans="1:36" ht="15" customHeight="1" x14ac:dyDescent="0.25">
      <c r="A24" s="48"/>
      <c r="B24" s="38" t="s">
        <v>16</v>
      </c>
      <c r="C24" s="7">
        <f>SUM(C13:C23)</f>
        <v>829374970011.53943</v>
      </c>
      <c r="D24" s="7">
        <f>SUM(D13:D23)-10^6</f>
        <v>841418362865.87708</v>
      </c>
      <c r="E24" s="7">
        <f>SUM(E13:E23)*10^6</f>
        <v>847119705471.38196</v>
      </c>
      <c r="F24" s="7">
        <f>SUM(F13:F23)</f>
        <v>821856016848.98169</v>
      </c>
      <c r="G24" s="7">
        <v>791136964554.01526</v>
      </c>
      <c r="H24" s="7">
        <f>SUM(H13:H23)</f>
        <v>769497572606.49365</v>
      </c>
      <c r="I24" s="7">
        <f>SUM(I13:I23)+10^6*2</f>
        <v>636627331529.64441</v>
      </c>
      <c r="J24" s="48"/>
      <c r="K24" s="48"/>
      <c r="L24" s="35" t="s">
        <v>13</v>
      </c>
      <c r="N24" s="5">
        <v>1690702772.9584441</v>
      </c>
      <c r="O24" s="5">
        <v>1449273728.4130731</v>
      </c>
      <c r="P24" s="5">
        <v>1408949847.2778807</v>
      </c>
      <c r="Q24" s="54"/>
      <c r="R24" s="5">
        <v>1018339473.9172778</v>
      </c>
      <c r="S24" s="54"/>
      <c r="T24" s="5">
        <v>1046533416.8049208</v>
      </c>
      <c r="U24" s="54"/>
      <c r="V24" s="5">
        <v>1106143644.5886965</v>
      </c>
      <c r="W24" s="54"/>
      <c r="X24" s="5">
        <v>834516931.74746275</v>
      </c>
      <c r="Y24" s="54"/>
      <c r="Z24" s="5">
        <v>874883305.29005682</v>
      </c>
      <c r="AA24" s="54"/>
      <c r="AB24" s="5">
        <v>694331452.23211634</v>
      </c>
      <c r="AC24" s="54"/>
      <c r="AD24" s="5">
        <v>747430889.38151026</v>
      </c>
      <c r="AE24" s="54"/>
      <c r="AF24" s="5">
        <v>679211802.11337471</v>
      </c>
      <c r="AG24" s="116"/>
      <c r="AH24" s="5">
        <v>1204524373.8542554</v>
      </c>
      <c r="AI24" s="116"/>
      <c r="AJ24" s="5">
        <v>539505694.49415398</v>
      </c>
    </row>
    <row r="25" spans="1:36" ht="15" customHeight="1" x14ac:dyDescent="0.25">
      <c r="A25" s="48"/>
      <c r="B25" s="48"/>
      <c r="C25" s="116"/>
      <c r="D25" s="116"/>
      <c r="E25" s="48"/>
      <c r="F25" s="116"/>
      <c r="G25" s="116"/>
      <c r="H25" s="116"/>
      <c r="I25" s="116"/>
      <c r="J25" s="48"/>
      <c r="K25" s="48"/>
      <c r="L25" s="35" t="s">
        <v>14</v>
      </c>
      <c r="N25" s="5">
        <v>6533286540.6794033</v>
      </c>
      <c r="O25" s="5">
        <v>6358276225.2688694</v>
      </c>
      <c r="P25" s="5">
        <v>5705304922.3728132</v>
      </c>
      <c r="Q25" s="54"/>
      <c r="R25" s="5">
        <v>5775596464.4242306</v>
      </c>
      <c r="S25" s="54"/>
      <c r="T25" s="5">
        <v>5347731631.593689</v>
      </c>
      <c r="U25" s="54"/>
      <c r="V25" s="5">
        <v>5185439716.6919947</v>
      </c>
      <c r="W25" s="54"/>
      <c r="X25" s="5">
        <v>5086273511.3237925</v>
      </c>
      <c r="Y25" s="54"/>
      <c r="Z25" s="5">
        <v>4876592387.8263941</v>
      </c>
      <c r="AA25" s="54"/>
      <c r="AB25" s="5">
        <v>2441528910.7773142</v>
      </c>
      <c r="AC25" s="54"/>
      <c r="AD25" s="5">
        <v>2556850149.0100012</v>
      </c>
      <c r="AE25" s="54"/>
      <c r="AF25" s="5">
        <v>2701623452.6700044</v>
      </c>
      <c r="AG25" s="116"/>
      <c r="AH25" s="5">
        <v>3619837456.4910016</v>
      </c>
      <c r="AI25" s="116"/>
      <c r="AJ25" s="5">
        <v>2249512960.3814502</v>
      </c>
    </row>
    <row r="26" spans="1:36" ht="15" customHeight="1" x14ac:dyDescent="0.25">
      <c r="A26" s="48"/>
      <c r="B26" s="38" t="s">
        <v>17</v>
      </c>
      <c r="C26" s="116"/>
      <c r="D26" s="116"/>
      <c r="F26" s="116"/>
      <c r="G26" s="116"/>
      <c r="H26" s="116"/>
      <c r="I26" s="116"/>
      <c r="J26" s="48"/>
      <c r="K26" s="48"/>
      <c r="L26" s="35" t="s">
        <v>415</v>
      </c>
      <c r="N26" s="5">
        <v>10243257124.833006</v>
      </c>
      <c r="O26" s="5">
        <v>9056781534.3327866</v>
      </c>
      <c r="P26" s="5">
        <v>7239708598.3186846</v>
      </c>
      <c r="Q26" s="54"/>
      <c r="R26" s="5">
        <v>7138806569.9231005</v>
      </c>
      <c r="S26" s="54"/>
      <c r="T26" s="5">
        <v>0</v>
      </c>
      <c r="U26" s="54"/>
      <c r="V26" s="5"/>
      <c r="W26" s="54"/>
      <c r="X26" s="5"/>
      <c r="Y26" s="54"/>
      <c r="Z26" s="5"/>
      <c r="AA26" s="54"/>
      <c r="AB26" s="5"/>
      <c r="AC26" s="54"/>
      <c r="AD26" s="5"/>
      <c r="AE26" s="54"/>
      <c r="AF26" s="5"/>
      <c r="AG26" s="116"/>
      <c r="AH26" s="5"/>
      <c r="AI26" s="116"/>
      <c r="AJ26" s="5"/>
    </row>
    <row r="27" spans="1:36" ht="15" customHeight="1" x14ac:dyDescent="0.25">
      <c r="A27" s="49"/>
      <c r="B27" s="35" t="s">
        <v>18</v>
      </c>
      <c r="C27" s="116">
        <v>7792491378.1599913</v>
      </c>
      <c r="D27" s="116">
        <v>4164481498.5374198</v>
      </c>
      <c r="E27" s="230">
        <v>2507.3541345595318</v>
      </c>
      <c r="F27" s="5">
        <v>1733030733.8402238</v>
      </c>
      <c r="G27" s="5">
        <v>1029430954.9124854</v>
      </c>
      <c r="H27" s="116">
        <v>1688906744.2980275</v>
      </c>
      <c r="I27" s="116">
        <v>1193725782.9910004</v>
      </c>
      <c r="J27" s="49"/>
      <c r="K27" s="49"/>
      <c r="L27" s="35" t="s">
        <v>15</v>
      </c>
      <c r="N27" s="5">
        <v>9408175647.1835194</v>
      </c>
      <c r="O27" s="5">
        <v>9286076956.7491493</v>
      </c>
      <c r="P27" s="5">
        <v>16224563946.743404</v>
      </c>
      <c r="Q27" s="54"/>
      <c r="R27" s="5">
        <v>11463494998.948563</v>
      </c>
      <c r="S27" s="54"/>
      <c r="T27" s="5">
        <v>24101957928.309391</v>
      </c>
      <c r="U27" s="54"/>
      <c r="V27" s="5">
        <v>24680546719.659996</v>
      </c>
      <c r="W27" s="54"/>
      <c r="X27" s="5">
        <v>21531332747.459984</v>
      </c>
      <c r="Y27" s="54"/>
      <c r="Z27" s="5">
        <v>10080777069.310003</v>
      </c>
      <c r="AA27" s="54"/>
      <c r="AB27" s="5">
        <v>14082353240.519999</v>
      </c>
      <c r="AC27" s="54"/>
      <c r="AD27" s="5">
        <v>13235208807.860001</v>
      </c>
      <c r="AE27" s="54"/>
      <c r="AF27" s="5">
        <v>7715466999.0599985</v>
      </c>
      <c r="AG27" s="116"/>
      <c r="AH27" s="5">
        <v>5662472300.6600008</v>
      </c>
      <c r="AI27" s="116"/>
      <c r="AJ27" s="5">
        <v>18779484790.840004</v>
      </c>
    </row>
    <row r="28" spans="1:36" ht="15" customHeight="1" x14ac:dyDescent="0.25">
      <c r="B28" s="35" t="s">
        <v>8</v>
      </c>
      <c r="C28" s="116">
        <v>5520090874.0199995</v>
      </c>
      <c r="D28" s="116">
        <v>263816156.22999999</v>
      </c>
      <c r="E28" s="230">
        <v>7.7496250000000003E-2</v>
      </c>
      <c r="F28" s="5">
        <v>77496.25</v>
      </c>
      <c r="G28" s="5">
        <v>77496.25</v>
      </c>
      <c r="H28" s="116">
        <v>1501525606.25</v>
      </c>
      <c r="I28" s="116">
        <v>460002500</v>
      </c>
      <c r="L28" s="240" t="s">
        <v>16</v>
      </c>
      <c r="M28" s="240"/>
      <c r="N28" s="7">
        <v>746548645403.84082</v>
      </c>
      <c r="O28" s="7">
        <v>692959387989.37537</v>
      </c>
      <c r="P28" s="7">
        <v>667831168188.24573</v>
      </c>
      <c r="Q28" s="43"/>
      <c r="R28" s="7">
        <v>636627331529.64429</v>
      </c>
      <c r="S28" s="43"/>
      <c r="T28" s="7">
        <v>583417977499.45154</v>
      </c>
      <c r="U28" s="43"/>
      <c r="V28" s="7">
        <v>545554630333.00171</v>
      </c>
      <c r="W28" s="43"/>
      <c r="X28" s="7">
        <v>520551130389.659</v>
      </c>
      <c r="Y28" s="43"/>
      <c r="Z28" s="7">
        <v>506131112438.09625</v>
      </c>
      <c r="AA28" s="43"/>
      <c r="AB28" s="7">
        <v>484532089966.43878</v>
      </c>
      <c r="AC28" s="43"/>
      <c r="AD28" s="7">
        <v>460378260460.81226</v>
      </c>
      <c r="AE28" s="43"/>
      <c r="AF28" s="7">
        <v>399733875477.62762</v>
      </c>
      <c r="AG28" s="8"/>
      <c r="AH28" s="7">
        <v>394638420957.29816</v>
      </c>
      <c r="AI28" s="8"/>
      <c r="AJ28" s="7">
        <v>365284627510.89032</v>
      </c>
    </row>
    <row r="29" spans="1:36" x14ac:dyDescent="0.25">
      <c r="B29" s="35" t="s">
        <v>9</v>
      </c>
      <c r="C29" s="116">
        <v>21778832253.28907</v>
      </c>
      <c r="D29" s="116">
        <v>16739937768.686514</v>
      </c>
      <c r="E29" s="230">
        <v>16169.598480957226</v>
      </c>
      <c r="F29" s="5">
        <v>19802381317.916752</v>
      </c>
      <c r="G29" s="5">
        <v>17421529988.61005</v>
      </c>
      <c r="H29" s="116">
        <v>13768920958.264328</v>
      </c>
      <c r="I29" s="116">
        <v>21615447028.022343</v>
      </c>
      <c r="L29" s="120"/>
      <c r="M29" s="120"/>
      <c r="N29" s="120"/>
      <c r="O29" s="120"/>
      <c r="P29" s="8"/>
      <c r="Q29" s="43"/>
      <c r="R29" s="8"/>
      <c r="S29" s="43"/>
      <c r="T29" s="8"/>
      <c r="U29" s="43"/>
      <c r="V29" s="8"/>
      <c r="W29" s="43"/>
      <c r="X29" s="8"/>
      <c r="Y29" s="43"/>
      <c r="Z29" s="8"/>
      <c r="AA29" s="43"/>
      <c r="AB29" s="8"/>
      <c r="AC29" s="43"/>
      <c r="AD29" s="8"/>
      <c r="AE29" s="43"/>
      <c r="AF29" s="8"/>
      <c r="AG29" s="116"/>
      <c r="AH29" s="5"/>
      <c r="AI29" s="116"/>
      <c r="AJ29" s="5"/>
    </row>
    <row r="30" spans="1:36" ht="15" customHeight="1" x14ac:dyDescent="0.25">
      <c r="A30" s="47"/>
      <c r="B30" s="35" t="s">
        <v>21</v>
      </c>
      <c r="C30" s="116">
        <v>33272243636.364567</v>
      </c>
      <c r="D30" s="116">
        <v>40418896332.913902</v>
      </c>
      <c r="E30" s="230">
        <v>21481.531836243583</v>
      </c>
      <c r="F30" s="5">
        <v>17985491242.346561</v>
      </c>
      <c r="G30" s="5">
        <v>16558238120.57085</v>
      </c>
      <c r="H30" s="116">
        <v>27020888918.516563</v>
      </c>
      <c r="I30" s="116">
        <v>38181599506.968971</v>
      </c>
      <c r="J30" s="47"/>
      <c r="K30" s="47"/>
      <c r="L30" s="46" t="s">
        <v>17</v>
      </c>
      <c r="M30" s="46"/>
      <c r="N30" s="46"/>
      <c r="O30" s="46"/>
      <c r="P30" s="6"/>
      <c r="Q30" s="43"/>
      <c r="R30" s="6"/>
      <c r="S30" s="43"/>
      <c r="T30" s="6"/>
      <c r="U30" s="43"/>
      <c r="V30" s="6"/>
      <c r="W30" s="43"/>
      <c r="X30" s="6"/>
      <c r="Y30" s="43"/>
      <c r="Z30" s="6"/>
      <c r="AA30" s="43"/>
      <c r="AB30" s="6"/>
      <c r="AC30" s="43"/>
      <c r="AD30" s="6"/>
      <c r="AE30" s="43"/>
      <c r="AF30" s="6"/>
    </row>
    <row r="31" spans="1:36" ht="15" customHeight="1" x14ac:dyDescent="0.25">
      <c r="A31" s="49"/>
      <c r="B31" s="35" t="s">
        <v>22</v>
      </c>
      <c r="C31" s="116">
        <v>42795235107.57</v>
      </c>
      <c r="D31" s="116">
        <v>40099123011.230003</v>
      </c>
      <c r="E31" s="230">
        <v>59563.456581269958</v>
      </c>
      <c r="F31" s="5">
        <v>55866364047.439957</v>
      </c>
      <c r="G31" s="5">
        <v>57151973883.922493</v>
      </c>
      <c r="H31" s="116">
        <v>50705529273.159996</v>
      </c>
      <c r="I31" s="116">
        <v>37836649496.660004</v>
      </c>
      <c r="J31" s="49"/>
      <c r="K31" s="49"/>
      <c r="L31" s="55" t="s">
        <v>18</v>
      </c>
      <c r="M31" s="55"/>
      <c r="N31" s="199">
        <v>1769824170.2880664</v>
      </c>
      <c r="O31" s="199">
        <v>1489760848.6280186</v>
      </c>
      <c r="P31" s="5">
        <v>1627189185.5180354</v>
      </c>
      <c r="Q31" s="54"/>
      <c r="R31" s="5">
        <v>1193725782.9910004</v>
      </c>
      <c r="S31" s="54"/>
      <c r="T31" s="5">
        <v>943320513.97803831</v>
      </c>
      <c r="U31" s="54"/>
      <c r="V31" s="5">
        <v>946426282.57000017</v>
      </c>
      <c r="W31" s="54"/>
      <c r="X31" s="5">
        <v>817081383.97000003</v>
      </c>
      <c r="Y31" s="54"/>
      <c r="Z31" s="5">
        <v>815234728.51999843</v>
      </c>
      <c r="AA31" s="54"/>
      <c r="AB31" s="5">
        <v>1400863032.6900005</v>
      </c>
      <c r="AC31" s="54"/>
      <c r="AD31" s="5">
        <v>1150122246.3900003</v>
      </c>
      <c r="AE31" s="54"/>
      <c r="AF31" s="5">
        <v>833353949.82999969</v>
      </c>
      <c r="AG31" s="116"/>
      <c r="AH31" s="5">
        <v>609147982.78999949</v>
      </c>
      <c r="AI31" s="116"/>
      <c r="AJ31" s="5">
        <v>718722051.44999909</v>
      </c>
    </row>
    <row r="32" spans="1:36" ht="15" customHeight="1" x14ac:dyDescent="0.25">
      <c r="A32" s="49"/>
      <c r="B32" s="35" t="s">
        <v>532</v>
      </c>
      <c r="C32" s="116">
        <v>8198011749.7710295</v>
      </c>
      <c r="D32" s="116">
        <v>7148300034.1927404</v>
      </c>
      <c r="E32" s="230">
        <v>5068.2802307435868</v>
      </c>
      <c r="F32" s="5">
        <v>6030268487.7938843</v>
      </c>
      <c r="G32" s="5">
        <v>5687696077.1737957</v>
      </c>
      <c r="H32" s="116">
        <f>4671598094.96129-10^6</f>
        <v>4670598094.9612904</v>
      </c>
      <c r="I32" s="116">
        <v>6267584984.3575001</v>
      </c>
      <c r="J32" s="49"/>
      <c r="K32" s="49"/>
      <c r="L32" s="234" t="s">
        <v>19</v>
      </c>
      <c r="M32" s="234"/>
      <c r="N32" s="200"/>
      <c r="O32" s="200"/>
      <c r="P32" s="6"/>
      <c r="Q32" s="57"/>
      <c r="R32" s="6"/>
      <c r="S32" s="57"/>
      <c r="T32" s="6"/>
      <c r="U32" s="57"/>
      <c r="V32" s="6"/>
      <c r="W32" s="57"/>
      <c r="X32" s="6"/>
      <c r="Y32" s="57"/>
      <c r="Z32" s="6"/>
      <c r="AA32" s="57"/>
      <c r="AB32" s="6"/>
      <c r="AC32" s="57"/>
      <c r="AD32" s="6"/>
      <c r="AE32" s="57"/>
      <c r="AF32" s="6"/>
      <c r="AG32" s="116"/>
      <c r="AH32" s="5"/>
      <c r="AI32" s="116"/>
      <c r="AJ32" s="5"/>
    </row>
    <row r="33" spans="1:36" ht="15" customHeight="1" x14ac:dyDescent="0.25">
      <c r="A33" s="49"/>
      <c r="B33" s="35" t="s">
        <v>415</v>
      </c>
      <c r="C33" s="116">
        <v>161894458.90000001</v>
      </c>
      <c r="D33" s="116">
        <v>107929638.5</v>
      </c>
      <c r="E33" s="230">
        <v>403.1189033</v>
      </c>
      <c r="F33" s="5">
        <v>340472047.89999998</v>
      </c>
      <c r="G33" s="5">
        <v>277825190.50000006</v>
      </c>
      <c r="H33" s="116">
        <v>215859278.19999999</v>
      </c>
      <c r="I33" s="116">
        <v>571573691.79999995</v>
      </c>
      <c r="J33" s="49"/>
      <c r="K33" s="49"/>
      <c r="L33" s="55"/>
      <c r="M33" s="55" t="s">
        <v>8</v>
      </c>
      <c r="N33" s="199">
        <v>2500</v>
      </c>
      <c r="O33" s="199">
        <v>400002500</v>
      </c>
      <c r="P33" s="5">
        <v>1762502500</v>
      </c>
      <c r="Q33" s="57"/>
      <c r="R33" s="5">
        <v>460002500</v>
      </c>
      <c r="S33" s="57"/>
      <c r="T33" s="6"/>
      <c r="U33" s="57"/>
      <c r="V33" s="6"/>
      <c r="W33" s="57"/>
      <c r="X33" s="6"/>
      <c r="Y33" s="57"/>
      <c r="Z33" s="6"/>
      <c r="AA33" s="57"/>
      <c r="AB33" s="6"/>
      <c r="AC33" s="57"/>
      <c r="AD33" s="6"/>
      <c r="AE33" s="57"/>
      <c r="AF33" s="6"/>
      <c r="AG33" s="116"/>
      <c r="AH33" s="5"/>
      <c r="AI33" s="116"/>
      <c r="AJ33" s="5"/>
    </row>
    <row r="34" spans="1:36" ht="15" customHeight="1" x14ac:dyDescent="0.25">
      <c r="A34" s="35"/>
      <c r="B34" s="35" t="s">
        <v>534</v>
      </c>
      <c r="C34" s="116">
        <v>8757850895.4966679</v>
      </c>
      <c r="D34" s="116">
        <v>5476485168.6955509</v>
      </c>
      <c r="E34" s="230">
        <v>6742.1481367069809</v>
      </c>
      <c r="F34" s="5">
        <v>6971602766.466423</v>
      </c>
      <c r="G34" s="5">
        <v>5787595698.4017248</v>
      </c>
      <c r="H34" s="116">
        <v>4863010346.54352</v>
      </c>
      <c r="I34" s="116">
        <v>3675307587.6684198</v>
      </c>
      <c r="J34" s="35"/>
      <c r="K34" s="35"/>
      <c r="L34" s="40"/>
      <c r="M34" s="58" t="s">
        <v>20</v>
      </c>
      <c r="N34" s="199">
        <v>1462048115.5858002</v>
      </c>
      <c r="O34" s="199">
        <v>3382089253.7807207</v>
      </c>
      <c r="P34" s="5">
        <v>2447625333.8255005</v>
      </c>
      <c r="Q34" s="57"/>
      <c r="R34" s="5">
        <v>2120305423.5955007</v>
      </c>
      <c r="S34" s="57"/>
      <c r="T34" s="5">
        <v>6541824284.6032</v>
      </c>
      <c r="U34" s="57"/>
      <c r="V34" s="5">
        <v>4530521968.3199997</v>
      </c>
      <c r="W34" s="57"/>
      <c r="X34" s="5">
        <v>3641052525.3200002</v>
      </c>
      <c r="Y34" s="57"/>
      <c r="Z34" s="5">
        <v>3593196555.2600002</v>
      </c>
      <c r="AA34" s="57"/>
      <c r="AB34" s="5">
        <v>4369006267.3100004</v>
      </c>
      <c r="AC34" s="57"/>
      <c r="AD34" s="5">
        <v>2427286717.6499996</v>
      </c>
      <c r="AE34" s="57"/>
      <c r="AF34" s="5">
        <v>2690983032.4500003</v>
      </c>
      <c r="AG34" s="116"/>
      <c r="AH34" s="5">
        <v>8717733298.5799999</v>
      </c>
      <c r="AI34" s="116"/>
      <c r="AJ34" s="5">
        <v>773932425.66999996</v>
      </c>
    </row>
    <row r="35" spans="1:36" ht="15" customHeight="1" x14ac:dyDescent="0.25">
      <c r="B35" s="35"/>
      <c r="C35" s="215">
        <f>SUM(C27:C34)-10^6</f>
        <v>128275650353.57132</v>
      </c>
      <c r="D35" s="215">
        <f>SUM(D27:D34)-10^6</f>
        <v>114417969608.98613</v>
      </c>
      <c r="E35" s="215">
        <f>111935565800.031-1*10^6</f>
        <v>111934565800.03101</v>
      </c>
      <c r="F35" s="215">
        <f>SUM(F27:F34)-2*10^6</f>
        <v>108727688139.9538</v>
      </c>
      <c r="G35" s="215">
        <v>103915367410.34138</v>
      </c>
      <c r="H35" s="215">
        <f>SUM(H27:H34)+10^6*2</f>
        <v>104437239220.19373</v>
      </c>
      <c r="I35" s="215">
        <f>SUM(I27:I34)+10^6</f>
        <v>109802890578.46825</v>
      </c>
      <c r="L35" s="40"/>
      <c r="M35" s="58" t="s">
        <v>9</v>
      </c>
      <c r="N35" s="199">
        <v>15076448654.21361</v>
      </c>
      <c r="O35" s="199">
        <v>19539327982.880966</v>
      </c>
      <c r="P35" s="5">
        <v>20394506191.461712</v>
      </c>
      <c r="Q35" s="54"/>
      <c r="R35" s="5">
        <v>21615447028.022343</v>
      </c>
      <c r="S35" s="54"/>
      <c r="T35" s="5">
        <v>29345683474.067501</v>
      </c>
      <c r="U35" s="54"/>
      <c r="V35" s="5">
        <v>45172228752.421066</v>
      </c>
      <c r="W35" s="54"/>
      <c r="X35" s="5">
        <v>52982683239.465469</v>
      </c>
      <c r="Y35" s="54"/>
      <c r="Z35" s="5">
        <v>44818857523.505432</v>
      </c>
      <c r="AA35" s="54"/>
      <c r="AB35" s="5">
        <v>49571327664.518112</v>
      </c>
      <c r="AC35" s="54"/>
      <c r="AD35" s="5">
        <v>51546751502.252968</v>
      </c>
      <c r="AE35" s="54"/>
      <c r="AF35" s="5">
        <v>34802126721.717613</v>
      </c>
      <c r="AG35" s="116"/>
      <c r="AH35" s="5">
        <v>25913769723.837334</v>
      </c>
      <c r="AI35" s="116"/>
      <c r="AJ35" s="5">
        <v>19175548907.515419</v>
      </c>
    </row>
    <row r="36" spans="1:36" ht="15" customHeight="1" x14ac:dyDescent="0.25">
      <c r="B36" s="35" t="s">
        <v>24</v>
      </c>
      <c r="C36" s="202">
        <v>3906273593.6599998</v>
      </c>
      <c r="D36" s="202">
        <v>3962866356.4400001</v>
      </c>
      <c r="E36" s="230">
        <f>119.70632298*10^6/10^6</f>
        <v>119.70632298</v>
      </c>
      <c r="F36" s="202">
        <v>143906862.37597999</v>
      </c>
      <c r="G36" s="202">
        <v>0</v>
      </c>
      <c r="H36" s="202">
        <v>0</v>
      </c>
      <c r="I36" s="202">
        <v>64105415.659999996</v>
      </c>
      <c r="L36" s="40"/>
      <c r="M36" s="58" t="s">
        <v>21</v>
      </c>
      <c r="N36" s="199">
        <v>55911032782.798782</v>
      </c>
      <c r="O36" s="199">
        <v>24432776682.047035</v>
      </c>
      <c r="P36" s="5">
        <v>20093757594.663925</v>
      </c>
      <c r="Q36" s="54"/>
      <c r="R36" s="5">
        <v>38181599506.968971</v>
      </c>
      <c r="S36" s="54"/>
      <c r="T36" s="5">
        <v>7549976514.5848074</v>
      </c>
      <c r="U36" s="54"/>
      <c r="V36" s="5">
        <v>25616376856.433548</v>
      </c>
      <c r="W36" s="54"/>
      <c r="X36" s="5">
        <v>24832331904.197815</v>
      </c>
      <c r="Y36" s="54"/>
      <c r="Z36" s="5">
        <v>28379110161.699036</v>
      </c>
      <c r="AA36" s="54"/>
      <c r="AB36" s="5">
        <v>14717509369.77598</v>
      </c>
      <c r="AC36" s="54"/>
      <c r="AD36" s="5">
        <v>26366731486.33437</v>
      </c>
      <c r="AE36" s="54"/>
      <c r="AF36" s="5">
        <v>20678592620.950214</v>
      </c>
      <c r="AG36" s="116"/>
      <c r="AH36" s="5">
        <v>13088922437.745024</v>
      </c>
      <c r="AI36" s="116"/>
      <c r="AJ36" s="5">
        <v>10114588888.823893</v>
      </c>
    </row>
    <row r="37" spans="1:36" ht="15" customHeight="1" x14ac:dyDescent="0.25">
      <c r="B37" s="120" t="s">
        <v>25</v>
      </c>
      <c r="C37" s="201">
        <f>C35+C36</f>
        <v>132181923947.23132</v>
      </c>
      <c r="D37" s="201">
        <f>D35+D36</f>
        <v>118380835965.42613</v>
      </c>
      <c r="E37" s="201">
        <v>112055272123.01088</v>
      </c>
      <c r="F37" s="201">
        <f>SUM(F35+F36)</f>
        <v>108871595002.32977</v>
      </c>
      <c r="G37" s="201">
        <f>SUM(G35+G36)</f>
        <v>103915367410.34138</v>
      </c>
      <c r="H37" s="201">
        <f>SUM(H35+H36)</f>
        <v>104437239220.19373</v>
      </c>
      <c r="I37" s="201">
        <f>SUM(I35+I36)</f>
        <v>109866995994.12825</v>
      </c>
      <c r="L37" s="40"/>
      <c r="M37" s="59" t="s">
        <v>22</v>
      </c>
      <c r="N37" s="199">
        <v>55903197853.789948</v>
      </c>
      <c r="O37" s="199">
        <v>57809577195</v>
      </c>
      <c r="P37" s="5">
        <v>48371605697.080002</v>
      </c>
      <c r="Q37" s="54"/>
      <c r="R37" s="5">
        <v>37836649496.660004</v>
      </c>
      <c r="S37" s="54"/>
      <c r="T37" s="5">
        <v>44331681680.339996</v>
      </c>
      <c r="U37" s="54"/>
      <c r="V37" s="5">
        <v>29624592411.519997</v>
      </c>
      <c r="W37" s="54"/>
      <c r="X37" s="5">
        <v>41227031102.099998</v>
      </c>
      <c r="Y37" s="54"/>
      <c r="Z37" s="5">
        <v>50740526594.099998</v>
      </c>
      <c r="AA37" s="54"/>
      <c r="AB37" s="5">
        <v>44794364086.099998</v>
      </c>
      <c r="AC37" s="54"/>
      <c r="AD37" s="5">
        <v>37920175006.100006</v>
      </c>
      <c r="AE37" s="54"/>
      <c r="AF37" s="5">
        <v>26506132961</v>
      </c>
      <c r="AG37" s="116"/>
      <c r="AH37" s="5">
        <v>31202894829.119999</v>
      </c>
      <c r="AI37" s="116"/>
      <c r="AJ37" s="5">
        <v>15384858630</v>
      </c>
    </row>
    <row r="38" spans="1:36" x14ac:dyDescent="0.25">
      <c r="A38" s="35"/>
      <c r="B38" s="120"/>
      <c r="C38" s="35"/>
      <c r="D38" s="35"/>
      <c r="E38" s="120"/>
      <c r="F38" s="35"/>
      <c r="G38" s="35"/>
      <c r="H38" s="35"/>
      <c r="I38" s="35"/>
      <c r="J38" s="35"/>
      <c r="K38" s="35"/>
      <c r="L38" s="40"/>
      <c r="M38" s="58" t="s">
        <v>10</v>
      </c>
      <c r="N38" s="199">
        <v>182792100.7999981</v>
      </c>
      <c r="O38" s="199">
        <v>252015320.59999999</v>
      </c>
      <c r="P38" s="5">
        <v>52071402.000001907</v>
      </c>
      <c r="Q38" s="56"/>
      <c r="R38" s="5">
        <v>54184583</v>
      </c>
      <c r="S38" s="56"/>
      <c r="T38" s="5">
        <v>20044278.141801834</v>
      </c>
      <c r="U38" s="56"/>
      <c r="V38" s="5">
        <v>149434703.24000001</v>
      </c>
      <c r="W38" s="56"/>
      <c r="X38" s="5">
        <v>678429177</v>
      </c>
      <c r="Y38" s="56"/>
      <c r="Z38" s="5">
        <v>623207270</v>
      </c>
      <c r="AA38" s="56"/>
      <c r="AB38" s="5">
        <v>1028728960</v>
      </c>
      <c r="AC38" s="56"/>
      <c r="AD38" s="5">
        <v>73478108</v>
      </c>
      <c r="AE38" s="56"/>
      <c r="AF38" s="5">
        <v>55556357.260000356</v>
      </c>
      <c r="AG38" s="116"/>
      <c r="AH38" s="5">
        <v>9936049.000000298</v>
      </c>
      <c r="AI38" s="116"/>
      <c r="AJ38" s="5">
        <v>19808755.154199999</v>
      </c>
    </row>
    <row r="39" spans="1:36" ht="15" customHeight="1" thickBot="1" x14ac:dyDescent="0.3">
      <c r="B39" s="120" t="s">
        <v>26</v>
      </c>
      <c r="C39" s="203">
        <f>C37+C24</f>
        <v>961556893958.77075</v>
      </c>
      <c r="D39" s="203">
        <f>D37+D24</f>
        <v>959799198831.30322</v>
      </c>
      <c r="E39" s="203">
        <f t="shared" ref="E39:I39" si="0">E37+E24</f>
        <v>959174977594.39282</v>
      </c>
      <c r="F39" s="203">
        <f t="shared" si="0"/>
        <v>930727611851.31152</v>
      </c>
      <c r="G39" s="203">
        <f t="shared" si="0"/>
        <v>895052331964.35669</v>
      </c>
      <c r="H39" s="203">
        <f t="shared" si="0"/>
        <v>873934811826.68738</v>
      </c>
      <c r="I39" s="203">
        <f t="shared" si="0"/>
        <v>746494327523.77271</v>
      </c>
      <c r="M39" s="58" t="s">
        <v>11</v>
      </c>
      <c r="N39" s="199">
        <v>2993136054.1951995</v>
      </c>
      <c r="O39" s="199">
        <v>4862855905.2567329</v>
      </c>
      <c r="P39" s="5">
        <v>3218833239.9496484</v>
      </c>
      <c r="Q39" s="56"/>
      <c r="R39" s="5">
        <v>4094094977.7620039</v>
      </c>
      <c r="S39" s="56"/>
      <c r="T39" s="5">
        <v>2770771385.1146998</v>
      </c>
      <c r="U39" s="56"/>
      <c r="V39" s="5">
        <v>3175235455.5410013</v>
      </c>
      <c r="W39" s="56"/>
      <c r="X39" s="5">
        <v>2655334169.0900006</v>
      </c>
      <c r="Y39" s="56"/>
      <c r="Z39" s="5">
        <v>2178271697.8217006</v>
      </c>
      <c r="AA39" s="56"/>
      <c r="AB39" s="5">
        <v>3769099877.9240003</v>
      </c>
      <c r="AC39" s="56"/>
      <c r="AD39" s="5">
        <v>5050126423.0476122</v>
      </c>
      <c r="AE39" s="56"/>
      <c r="AF39" s="5">
        <v>3697101020.1400003</v>
      </c>
      <c r="AG39" s="116"/>
      <c r="AH39" s="5">
        <v>2718297422.46103</v>
      </c>
      <c r="AI39" s="116"/>
      <c r="AJ39" s="5">
        <v>2150686189.0599999</v>
      </c>
    </row>
    <row r="40" spans="1:36" ht="15" customHeight="1" thickTop="1" x14ac:dyDescent="0.25">
      <c r="C40" s="199"/>
      <c r="D40" s="199"/>
      <c r="F40" s="199"/>
      <c r="G40" s="199"/>
      <c r="H40" s="199"/>
      <c r="I40" s="199"/>
      <c r="L40" s="60" t="s">
        <v>13</v>
      </c>
      <c r="M40" s="60"/>
      <c r="N40" s="199">
        <v>2038341053.7230313</v>
      </c>
      <c r="O40" s="199">
        <v>2399374495.072588</v>
      </c>
      <c r="P40" s="5">
        <v>1444118637.8529813</v>
      </c>
      <c r="Q40" s="61"/>
      <c r="R40" s="5">
        <v>1311417684.6179788</v>
      </c>
      <c r="S40" s="61"/>
      <c r="T40" s="5">
        <v>1227376829.9324903</v>
      </c>
      <c r="U40" s="61"/>
      <c r="V40" s="5">
        <v>724746175.7948699</v>
      </c>
      <c r="W40" s="61"/>
      <c r="X40" s="5">
        <v>674438238.77837813</v>
      </c>
      <c r="Y40" s="61"/>
      <c r="Z40" s="5">
        <v>969778252.4383781</v>
      </c>
      <c r="AA40" s="61"/>
      <c r="AB40" s="5">
        <v>1117400182.2040713</v>
      </c>
      <c r="AC40" s="61"/>
      <c r="AD40" s="5">
        <v>1544749216.9856319</v>
      </c>
      <c r="AE40" s="61"/>
      <c r="AF40" s="5">
        <v>591660938.47678912</v>
      </c>
      <c r="AG40" s="116"/>
      <c r="AH40" s="5">
        <v>849287282.65555048</v>
      </c>
      <c r="AI40" s="116"/>
      <c r="AJ40" s="5">
        <v>519483744.73425299</v>
      </c>
    </row>
    <row r="41" spans="1:36" ht="15" customHeight="1" x14ac:dyDescent="0.25">
      <c r="C41" s="199"/>
      <c r="D41" s="199"/>
      <c r="F41" s="199"/>
      <c r="G41" s="199"/>
      <c r="H41" s="199"/>
      <c r="I41" s="199"/>
      <c r="L41" s="60" t="s">
        <v>415</v>
      </c>
      <c r="M41" s="60"/>
      <c r="N41" s="199">
        <v>1198297107.5</v>
      </c>
      <c r="O41" s="199">
        <v>1006334634.1400001</v>
      </c>
      <c r="P41" s="5">
        <v>1342034485.3899999</v>
      </c>
      <c r="Q41" s="61"/>
      <c r="R41" s="5">
        <v>571573691.79999995</v>
      </c>
      <c r="S41" s="61"/>
      <c r="T41" s="5">
        <v>0</v>
      </c>
      <c r="U41" s="61"/>
      <c r="V41" s="5"/>
      <c r="W41" s="61"/>
      <c r="X41" s="5"/>
      <c r="Y41" s="61"/>
      <c r="Z41" s="5"/>
      <c r="AA41" s="61"/>
      <c r="AB41" s="5"/>
      <c r="AC41" s="61"/>
      <c r="AD41" s="5"/>
      <c r="AE41" s="61"/>
      <c r="AF41" s="5"/>
      <c r="AG41" s="116"/>
      <c r="AH41" s="5"/>
      <c r="AI41" s="116"/>
      <c r="AJ41" s="5"/>
    </row>
    <row r="42" spans="1:36" ht="15" customHeight="1" x14ac:dyDescent="0.25">
      <c r="A42" s="5"/>
      <c r="B42" s="5"/>
      <c r="C42" s="199"/>
      <c r="D42" s="199"/>
      <c r="E42" s="5"/>
      <c r="F42" s="199"/>
      <c r="G42" s="199"/>
      <c r="H42" s="199"/>
      <c r="I42" s="199"/>
      <c r="J42" s="5"/>
      <c r="K42" s="5"/>
      <c r="L42" s="35" t="s">
        <v>23</v>
      </c>
      <c r="N42" s="199">
        <v>3653565261.1474514</v>
      </c>
      <c r="O42" s="199">
        <v>3908980710.5027618</v>
      </c>
      <c r="P42" s="5">
        <v>4602936446.6550369</v>
      </c>
      <c r="Q42" s="54"/>
      <c r="R42" s="5">
        <v>2363889903.0504427</v>
      </c>
      <c r="S42" s="54"/>
      <c r="T42" s="5">
        <v>4805070439.3111019</v>
      </c>
      <c r="U42" s="54"/>
      <c r="V42" s="5">
        <v>6727030862.4635715</v>
      </c>
      <c r="W42" s="54"/>
      <c r="X42" s="5">
        <v>6481783824.0625973</v>
      </c>
      <c r="Y42" s="54"/>
      <c r="Z42" s="5">
        <v>3001177097.6335945</v>
      </c>
      <c r="AA42" s="54"/>
      <c r="AB42" s="5">
        <v>2306494149.8510032</v>
      </c>
      <c r="AC42" s="54"/>
      <c r="AD42" s="5">
        <v>2045732921.4580004</v>
      </c>
      <c r="AE42" s="54"/>
      <c r="AF42" s="5">
        <v>2463748295.6388679</v>
      </c>
      <c r="AG42" s="116"/>
      <c r="AH42" s="5">
        <v>1808079397.9755456</v>
      </c>
      <c r="AI42" s="116"/>
      <c r="AJ42" s="5">
        <v>2060757247.7615178</v>
      </c>
    </row>
    <row r="43" spans="1:36" ht="14.1" customHeight="1" x14ac:dyDescent="0.25">
      <c r="A43" s="6"/>
      <c r="B43" s="216" t="s">
        <v>27</v>
      </c>
      <c r="C43" s="198"/>
      <c r="D43" s="198"/>
      <c r="E43" s="216"/>
      <c r="F43" s="198"/>
      <c r="G43" s="198"/>
      <c r="H43" s="198"/>
      <c r="I43" s="198"/>
      <c r="J43" s="6"/>
      <c r="K43" s="6"/>
      <c r="L43" s="38"/>
      <c r="M43" s="40"/>
      <c r="N43" s="201">
        <v>140187685654.0419</v>
      </c>
      <c r="O43" s="201">
        <v>119483095527.90881</v>
      </c>
      <c r="P43" s="7">
        <v>105359180714.39685</v>
      </c>
      <c r="Q43" s="62"/>
      <c r="R43" s="7">
        <v>109802890578.46826</v>
      </c>
      <c r="S43" s="62"/>
      <c r="T43" s="7"/>
      <c r="U43" s="62"/>
      <c r="V43" s="7"/>
      <c r="W43" s="62"/>
      <c r="X43" s="7"/>
      <c r="Y43" s="62"/>
      <c r="Z43" s="7"/>
      <c r="AA43" s="62"/>
      <c r="AB43" s="7"/>
      <c r="AC43" s="62"/>
      <c r="AD43" s="7">
        <v>128125156128.19858</v>
      </c>
      <c r="AE43" s="62"/>
      <c r="AF43" s="7">
        <v>92320258397.443481</v>
      </c>
      <c r="AG43" s="116"/>
      <c r="AH43" s="5">
        <v>84918068424.164474</v>
      </c>
      <c r="AI43" s="116"/>
      <c r="AJ43" s="5">
        <v>50920386840.169281</v>
      </c>
    </row>
    <row r="44" spans="1:36" ht="9.9499999999999993" hidden="1" customHeight="1" x14ac:dyDescent="0.25">
      <c r="A44" s="5"/>
      <c r="B44" s="5"/>
      <c r="C44" s="5"/>
      <c r="D44" s="5"/>
      <c r="E44" s="5"/>
      <c r="F44" s="5"/>
      <c r="G44" s="5">
        <v>4807890475.1727619</v>
      </c>
      <c r="H44" s="5">
        <v>4807890475.1727619</v>
      </c>
      <c r="I44" s="5">
        <v>4807890475.1727619</v>
      </c>
      <c r="J44" s="5"/>
      <c r="K44" s="5"/>
      <c r="L44" s="35" t="s">
        <v>24</v>
      </c>
      <c r="M44" s="40"/>
      <c r="N44" s="201">
        <v>119483095527.90881</v>
      </c>
      <c r="O44" s="201">
        <v>119483095527.90881</v>
      </c>
      <c r="P44" s="8"/>
      <c r="Q44" s="62"/>
      <c r="R44" s="8"/>
      <c r="S44" s="62"/>
      <c r="T44" s="8"/>
      <c r="U44" s="62"/>
      <c r="V44" s="8"/>
      <c r="W44" s="62"/>
      <c r="X44" s="8"/>
      <c r="Y44" s="62"/>
      <c r="Z44" s="8"/>
      <c r="AA44" s="62"/>
      <c r="AB44" s="8"/>
      <c r="AC44" s="62"/>
      <c r="AD44" s="8">
        <v>0</v>
      </c>
      <c r="AE44" s="62"/>
      <c r="AF44" s="8">
        <v>0</v>
      </c>
      <c r="AG44" s="116"/>
      <c r="AH44" s="5">
        <v>0</v>
      </c>
      <c r="AI44" s="116"/>
      <c r="AJ44" s="5">
        <v>0</v>
      </c>
    </row>
    <row r="45" spans="1:36" ht="9.9499999999999993" hidden="1" customHeight="1" x14ac:dyDescent="0.25">
      <c r="A45" s="5"/>
      <c r="B45" s="5"/>
      <c r="C45" s="5"/>
      <c r="D45" s="5"/>
      <c r="E45" s="5"/>
      <c r="F45" s="5"/>
      <c r="G45" s="5">
        <v>154137774649.95309</v>
      </c>
      <c r="H45" s="5">
        <v>154137774649.95309</v>
      </c>
      <c r="I45" s="5">
        <v>154137774649.95309</v>
      </c>
      <c r="J45" s="5"/>
      <c r="K45" s="5"/>
      <c r="Q45" s="43"/>
      <c r="S45" s="43"/>
      <c r="U45" s="43"/>
      <c r="W45" s="43"/>
      <c r="Y45" s="43"/>
      <c r="AA45" s="43"/>
      <c r="AC45" s="43"/>
      <c r="AE45" s="43"/>
      <c r="AG45" s="116"/>
      <c r="AH45" s="5"/>
      <c r="AI45" s="116"/>
      <c r="AJ45" s="5"/>
    </row>
    <row r="46" spans="1:36" ht="9.9499999999999993" hidden="1" customHeight="1" x14ac:dyDescent="0.25">
      <c r="A46" s="5"/>
      <c r="B46" s="5"/>
      <c r="C46" s="5"/>
      <c r="D46" s="5"/>
      <c r="E46" s="5"/>
      <c r="F46" s="5"/>
      <c r="G46" s="5">
        <v>-1486126981.3633473</v>
      </c>
      <c r="H46" s="5">
        <v>-1486126981.3633473</v>
      </c>
      <c r="I46" s="5">
        <v>-1486126981.3633473</v>
      </c>
      <c r="J46" s="5"/>
      <c r="K46" s="5"/>
      <c r="L46" s="38"/>
      <c r="M46" s="40"/>
      <c r="N46" s="40"/>
      <c r="O46" s="40"/>
      <c r="P46" s="7"/>
      <c r="Q46" s="62"/>
      <c r="R46" s="7">
        <v>111698882749.32826</v>
      </c>
      <c r="S46" s="62"/>
      <c r="T46" s="7">
        <v>97535751900.053635</v>
      </c>
      <c r="U46" s="62"/>
      <c r="V46" s="7">
        <v>116665593468.30408</v>
      </c>
      <c r="W46" s="62"/>
      <c r="X46" s="7">
        <v>133989168063.96426</v>
      </c>
      <c r="Y46" s="62"/>
      <c r="Z46" s="7">
        <v>135119362380.95813</v>
      </c>
      <c r="AA46" s="62"/>
      <c r="AB46" s="7">
        <v>123073796090.35315</v>
      </c>
      <c r="AC46" s="62"/>
      <c r="AD46" s="7">
        <v>128125156128.19858</v>
      </c>
      <c r="AE46" s="62"/>
      <c r="AF46" s="7">
        <v>92320258397.443481</v>
      </c>
      <c r="AG46" s="8"/>
      <c r="AH46" s="7">
        <v>84918068424.164474</v>
      </c>
      <c r="AI46" s="8"/>
      <c r="AJ46" s="7">
        <v>50920386840.169281</v>
      </c>
    </row>
    <row r="47" spans="1:36" ht="15" customHeight="1" x14ac:dyDescent="0.25">
      <c r="A47" s="5"/>
      <c r="B47" s="217" t="s">
        <v>535</v>
      </c>
      <c r="C47" s="35"/>
      <c r="D47" s="35"/>
      <c r="E47" s="217"/>
      <c r="F47" s="35"/>
      <c r="G47" s="35"/>
      <c r="H47" s="35"/>
      <c r="I47" s="35"/>
      <c r="J47" s="5"/>
      <c r="K47" s="5"/>
      <c r="L47" s="35" t="s">
        <v>24</v>
      </c>
      <c r="M47" s="40"/>
      <c r="N47" s="202">
        <v>0</v>
      </c>
      <c r="O47" s="202">
        <v>1011527466.0159963</v>
      </c>
      <c r="P47" s="128">
        <v>5357881189.0035353</v>
      </c>
      <c r="Q47" s="62"/>
      <c r="R47" s="128">
        <v>64105415.659999996</v>
      </c>
      <c r="S47" s="62"/>
      <c r="T47" s="128">
        <v>92984713</v>
      </c>
      <c r="U47" s="62"/>
      <c r="V47" s="128">
        <v>92984713</v>
      </c>
      <c r="W47" s="62"/>
      <c r="X47" s="128">
        <v>92984713</v>
      </c>
      <c r="Y47" s="62"/>
      <c r="Z47" s="128">
        <v>92984713</v>
      </c>
      <c r="AA47" s="62"/>
      <c r="AB47" s="128">
        <v>7702599535</v>
      </c>
      <c r="AC47" s="62"/>
      <c r="AD47" s="5">
        <v>0</v>
      </c>
      <c r="AE47" s="62"/>
      <c r="AF47" s="5">
        <v>0</v>
      </c>
      <c r="AG47" s="128"/>
      <c r="AH47" s="5">
        <v>0</v>
      </c>
      <c r="AI47" s="128"/>
      <c r="AJ47" s="5">
        <v>0</v>
      </c>
    </row>
    <row r="48" spans="1:36" ht="15" customHeight="1" x14ac:dyDescent="0.25">
      <c r="A48" s="5"/>
      <c r="B48" s="5" t="s">
        <v>29</v>
      </c>
      <c r="C48" s="116">
        <v>4808205458.3438921</v>
      </c>
      <c r="D48" s="116">
        <v>4808205458.3438921</v>
      </c>
      <c r="E48" s="5">
        <v>4808493446.5067768</v>
      </c>
      <c r="F48" s="5">
        <v>4808493440.2588797</v>
      </c>
      <c r="G48" s="5">
        <v>4812545975.3302727</v>
      </c>
      <c r="H48" s="116">
        <v>4808205458.3438921</v>
      </c>
      <c r="I48" s="116">
        <v>4807856161.9421129</v>
      </c>
      <c r="J48" s="5"/>
      <c r="K48" s="5"/>
      <c r="L48" s="38" t="s">
        <v>25</v>
      </c>
      <c r="M48" s="40"/>
      <c r="N48" s="201">
        <v>140187685654.0419</v>
      </c>
      <c r="O48" s="201">
        <v>120494622993.9248</v>
      </c>
      <c r="P48" s="7">
        <v>110717061903.40039</v>
      </c>
      <c r="Q48" s="62"/>
      <c r="R48" s="7">
        <v>109866995994.12827</v>
      </c>
      <c r="S48" s="62"/>
      <c r="T48" s="7">
        <v>97628736613.053635</v>
      </c>
      <c r="U48" s="62"/>
      <c r="V48" s="7">
        <v>116758578181.30408</v>
      </c>
      <c r="W48" s="62"/>
      <c r="X48" s="7">
        <v>134082152776.96426</v>
      </c>
      <c r="Y48" s="62"/>
      <c r="Z48" s="7">
        <v>135212347093.95813</v>
      </c>
      <c r="AA48" s="62"/>
      <c r="AB48" s="7">
        <v>130777395625.35315</v>
      </c>
      <c r="AC48" s="62"/>
      <c r="AD48" s="7">
        <v>128125156128.19858</v>
      </c>
      <c r="AE48" s="62"/>
      <c r="AF48" s="7">
        <v>92320258397.443481</v>
      </c>
      <c r="AG48" s="8"/>
      <c r="AH48" s="7">
        <v>84918068424.164474</v>
      </c>
      <c r="AI48" s="8"/>
      <c r="AJ48" s="7">
        <v>50920386840.169281</v>
      </c>
    </row>
    <row r="49" spans="1:36" x14ac:dyDescent="0.25">
      <c r="A49" s="5"/>
      <c r="B49" s="5" t="s">
        <v>30</v>
      </c>
      <c r="C49" s="116">
        <v>154247296263.55786</v>
      </c>
      <c r="D49" s="116">
        <v>154204177104.54233</v>
      </c>
      <c r="E49" s="5">
        <v>154162382931.83478</v>
      </c>
      <c r="F49" s="5">
        <v>154157291553.15375</v>
      </c>
      <c r="G49" s="5">
        <v>154154101047.59619</v>
      </c>
      <c r="H49" s="116">
        <v>154153324937.15375</v>
      </c>
      <c r="I49" s="116">
        <v>154136200697.03152</v>
      </c>
      <c r="J49" s="5"/>
      <c r="K49" s="5"/>
      <c r="Q49" s="43"/>
      <c r="S49" s="43"/>
      <c r="U49" s="43"/>
      <c r="W49" s="43"/>
      <c r="Y49" s="43"/>
      <c r="AA49" s="43"/>
      <c r="AC49" s="43"/>
      <c r="AE49" s="43"/>
      <c r="AG49" s="116"/>
      <c r="AH49" s="5"/>
      <c r="AI49" s="116"/>
      <c r="AJ49" s="5"/>
    </row>
    <row r="50" spans="1:36" ht="15.75" thickBot="1" x14ac:dyDescent="0.3">
      <c r="A50" s="5"/>
      <c r="B50" s="5" t="s">
        <v>253</v>
      </c>
      <c r="C50" s="116">
        <v>-49049274831.546417</v>
      </c>
      <c r="D50" s="116">
        <v>-53755382361.693878</v>
      </c>
      <c r="E50" s="5">
        <v>-56747968067.123405</v>
      </c>
      <c r="F50" s="5">
        <v>-53053944260.558792</v>
      </c>
      <c r="G50" s="5">
        <v>-57065716914.394096</v>
      </c>
      <c r="H50" s="116">
        <v>-56433204933.400848</v>
      </c>
      <c r="I50" s="116">
        <v>-53609714694.508034</v>
      </c>
      <c r="J50" s="5"/>
      <c r="K50" s="5"/>
      <c r="L50" s="237" t="s">
        <v>26</v>
      </c>
      <c r="M50" s="237"/>
      <c r="N50" s="203">
        <v>886737331057.88269</v>
      </c>
      <c r="O50" s="203">
        <v>813454010983.30017</v>
      </c>
      <c r="P50" s="9">
        <v>778548230091.64612</v>
      </c>
      <c r="R50" s="9">
        <v>746494327523.77258</v>
      </c>
      <c r="T50" s="9">
        <v>681046714112.50513</v>
      </c>
      <c r="V50" s="9">
        <v>662314208514.30579</v>
      </c>
      <c r="X50" s="9">
        <v>654633283166.62329</v>
      </c>
      <c r="Z50" s="9">
        <v>641343459532.05444</v>
      </c>
      <c r="AB50" s="9">
        <v>615309485591.79199</v>
      </c>
      <c r="AD50" s="9">
        <v>588502516589.01086</v>
      </c>
      <c r="AF50" s="9">
        <v>492054133875.07111</v>
      </c>
      <c r="AG50" s="8"/>
      <c r="AH50" s="9">
        <v>479556489381.46265</v>
      </c>
      <c r="AI50" s="8"/>
      <c r="AJ50" s="9">
        <v>416205014351.05957</v>
      </c>
    </row>
    <row r="51" spans="1:36" ht="15.75" thickTop="1" x14ac:dyDescent="0.25">
      <c r="A51" s="5"/>
      <c r="B51" s="5" t="s">
        <v>33</v>
      </c>
      <c r="C51" s="116">
        <v>8121765716.6332045</v>
      </c>
      <c r="D51" s="116">
        <f>7345616413.36038-10^6</f>
        <v>7344616413.3603802</v>
      </c>
      <c r="E51" s="5">
        <v>5551243691.5902719</v>
      </c>
      <c r="F51" s="5">
        <v>6520201389.9183826</v>
      </c>
      <c r="G51" s="5">
        <v>3538596384.5962486</v>
      </c>
      <c r="H51" s="116">
        <v>2689112185.2768211</v>
      </c>
      <c r="I51" s="116">
        <v>1518414778.6405344</v>
      </c>
      <c r="J51" s="5"/>
      <c r="K51" s="5"/>
      <c r="L51" s="119"/>
      <c r="M51" s="119"/>
      <c r="N51" s="119"/>
      <c r="O51" s="119"/>
      <c r="P51" s="5"/>
      <c r="R51" s="5"/>
      <c r="T51" s="5"/>
      <c r="V51" s="5"/>
      <c r="X51" s="5"/>
      <c r="Z51" s="5"/>
      <c r="AB51" s="5"/>
      <c r="AD51" s="5"/>
      <c r="AF51" s="5"/>
      <c r="AG51" s="116"/>
      <c r="AH51" s="5"/>
      <c r="AI51" s="116"/>
      <c r="AJ51" s="5"/>
    </row>
    <row r="52" spans="1:36" ht="15" customHeight="1" x14ac:dyDescent="0.25">
      <c r="A52" s="5"/>
      <c r="B52" s="217" t="s">
        <v>34</v>
      </c>
      <c r="C52" s="220">
        <f>SUM(C48:C51)</f>
        <v>118127992606.98856</v>
      </c>
      <c r="D52" s="220">
        <f>112602616614.553-10^6</f>
        <v>112601616614.55299</v>
      </c>
      <c r="E52" s="220">
        <v>107773152002.90863</v>
      </c>
      <c r="F52" s="220">
        <f>SUM(F48:F51)-1*10^6</f>
        <v>112431042122.77222</v>
      </c>
      <c r="G52" s="220">
        <f>SUM(G48:G51)</f>
        <v>105439526493.1286</v>
      </c>
      <c r="H52" s="220">
        <f>SUM(H48:H51)</f>
        <v>105217437647.37363</v>
      </c>
      <c r="I52" s="220">
        <f>SUM(I48:I51)-10^6</f>
        <v>106851756943.10614</v>
      </c>
      <c r="J52" s="5"/>
      <c r="K52" s="5"/>
      <c r="L52" s="238" t="s">
        <v>27</v>
      </c>
      <c r="M52" s="239"/>
      <c r="N52" s="198"/>
      <c r="O52" s="198"/>
      <c r="P52" s="5"/>
      <c r="R52" s="5"/>
      <c r="T52" s="5"/>
      <c r="V52" s="5"/>
      <c r="X52" s="5"/>
      <c r="Z52" s="5"/>
      <c r="AB52" s="5"/>
      <c r="AD52" s="5"/>
      <c r="AF52" s="5"/>
      <c r="AG52" s="116"/>
      <c r="AH52" s="5"/>
      <c r="AI52" s="116"/>
      <c r="AJ52" s="5"/>
    </row>
    <row r="53" spans="1:36" x14ac:dyDescent="0.25">
      <c r="A53" s="116"/>
      <c r="B53" s="116" t="s">
        <v>35</v>
      </c>
      <c r="C53" s="116">
        <v>17822977051.864479</v>
      </c>
      <c r="D53" s="116">
        <v>18510408830.542591</v>
      </c>
      <c r="E53" s="5">
        <v>18156662341.472862</v>
      </c>
      <c r="F53" s="5">
        <v>17299047686.63018</v>
      </c>
      <c r="G53" s="5">
        <v>16889865716.781534</v>
      </c>
      <c r="H53" s="116">
        <v>16479547824.335794</v>
      </c>
      <c r="I53" s="116">
        <v>11547999321.581285</v>
      </c>
      <c r="J53" s="5"/>
      <c r="K53" s="5"/>
      <c r="Q53" s="43"/>
      <c r="S53" s="43"/>
      <c r="U53" s="43"/>
      <c r="W53" s="43"/>
      <c r="Y53" s="43"/>
      <c r="AA53" s="43"/>
      <c r="AC53" s="43"/>
      <c r="AE53" s="43"/>
      <c r="AG53" s="116"/>
      <c r="AH53" s="5"/>
      <c r="AI53" s="116"/>
      <c r="AJ53" s="5"/>
    </row>
    <row r="54" spans="1:36" ht="15" customHeight="1" x14ac:dyDescent="0.25">
      <c r="A54" s="8"/>
      <c r="B54" s="218" t="s">
        <v>36</v>
      </c>
      <c r="C54" s="219">
        <f>(C53+C52)</f>
        <v>135950969658.85303</v>
      </c>
      <c r="D54" s="219">
        <f>(D53+D52)</f>
        <v>131112025445.09558</v>
      </c>
      <c r="E54" s="219">
        <v>125929814344.3815</v>
      </c>
      <c r="F54" s="219">
        <f>F53+F52</f>
        <v>129730089809.4024</v>
      </c>
      <c r="G54" s="219">
        <v>122329568081.66655</v>
      </c>
      <c r="H54" s="219">
        <f>H53+H52</f>
        <v>121696985471.70943</v>
      </c>
      <c r="I54" s="219">
        <f>I53+I52</f>
        <v>118399756264.68742</v>
      </c>
      <c r="J54" s="8"/>
      <c r="K54" s="8"/>
      <c r="L54" s="238" t="s">
        <v>28</v>
      </c>
      <c r="M54" s="239"/>
      <c r="N54" s="198"/>
      <c r="O54" s="198"/>
      <c r="P54" s="5"/>
      <c r="R54" s="5"/>
      <c r="T54" s="5"/>
      <c r="V54" s="5"/>
      <c r="X54" s="5"/>
      <c r="Z54" s="5"/>
      <c r="AB54" s="5"/>
      <c r="AD54" s="5"/>
      <c r="AF54" s="5"/>
    </row>
    <row r="55" spans="1:36" ht="15" customHeight="1" x14ac:dyDescent="0.25">
      <c r="A55" s="53"/>
      <c r="B55" s="35"/>
      <c r="C55" s="55"/>
      <c r="D55" s="55"/>
      <c r="E55" s="55"/>
      <c r="F55" s="55"/>
      <c r="G55" s="55"/>
      <c r="H55" s="55"/>
      <c r="I55" s="55"/>
      <c r="J55" s="53"/>
      <c r="K55" s="53"/>
      <c r="L55" s="35" t="s">
        <v>29</v>
      </c>
      <c r="N55" s="5">
        <v>4807890475.1727619</v>
      </c>
      <c r="O55" s="5">
        <v>4807890190.5480175</v>
      </c>
      <c r="P55" s="5">
        <v>4807890024.5483303</v>
      </c>
      <c r="Q55" s="63"/>
      <c r="R55" s="5">
        <v>4807856161.9421129</v>
      </c>
      <c r="S55" s="63"/>
      <c r="T55" s="5">
        <v>4807937367.6250515</v>
      </c>
      <c r="U55" s="63"/>
      <c r="V55" s="5">
        <v>4808493438.23248</v>
      </c>
      <c r="W55" s="63"/>
      <c r="X55" s="5">
        <v>4808493438.2324791</v>
      </c>
      <c r="Y55" s="63"/>
      <c r="Z55" s="5">
        <v>4808493438.23248</v>
      </c>
      <c r="AA55" s="63"/>
      <c r="AB55" s="5">
        <v>4807959726.2851887</v>
      </c>
      <c r="AC55" s="63"/>
      <c r="AD55" s="5">
        <v>4807959726.1168003</v>
      </c>
      <c r="AE55" s="63"/>
      <c r="AF55" s="5">
        <v>3799244535.2430019</v>
      </c>
      <c r="AG55" s="116"/>
      <c r="AH55" s="5">
        <v>3799245535.7044954</v>
      </c>
      <c r="AI55" s="116"/>
      <c r="AJ55" s="5">
        <v>3799245560</v>
      </c>
    </row>
    <row r="56" spans="1:36" x14ac:dyDescent="0.25">
      <c r="B56" s="120" t="s">
        <v>37</v>
      </c>
      <c r="C56" s="199"/>
      <c r="D56" s="199"/>
      <c r="E56" s="199"/>
      <c r="F56" s="199"/>
      <c r="G56" s="199"/>
      <c r="H56" s="199"/>
      <c r="I56" s="199"/>
      <c r="L56" s="35" t="s">
        <v>30</v>
      </c>
      <c r="N56" s="5">
        <v>154137774649.95309</v>
      </c>
      <c r="O56" s="5">
        <v>154138061780.03149</v>
      </c>
      <c r="P56" s="5">
        <v>154137752289.5701</v>
      </c>
      <c r="Q56" s="54"/>
      <c r="R56" s="5">
        <v>154136200697.03152</v>
      </c>
      <c r="S56" s="54"/>
      <c r="T56" s="5">
        <v>154072408159.85553</v>
      </c>
      <c r="U56" s="54"/>
      <c r="V56" s="5">
        <v>154072408159.51862</v>
      </c>
      <c r="W56" s="54"/>
      <c r="X56" s="5">
        <v>154072408159.51862</v>
      </c>
      <c r="Y56" s="54"/>
      <c r="Z56" s="5">
        <v>154051150118.26862</v>
      </c>
      <c r="AA56" s="54"/>
      <c r="AB56" s="5">
        <v>163157857536.62216</v>
      </c>
      <c r="AC56" s="54"/>
      <c r="AD56" s="5">
        <v>163157857554.84717</v>
      </c>
      <c r="AE56" s="54"/>
      <c r="AF56" s="5">
        <v>67165197063.779999</v>
      </c>
      <c r="AG56" s="116"/>
      <c r="AH56" s="5">
        <v>67164761016.979996</v>
      </c>
      <c r="AI56" s="116"/>
      <c r="AJ56" s="5">
        <v>67164761016.979996</v>
      </c>
    </row>
    <row r="57" spans="1:36" x14ac:dyDescent="0.25">
      <c r="B57" s="198" t="s">
        <v>39</v>
      </c>
      <c r="C57" s="35"/>
      <c r="D57" s="35"/>
      <c r="E57" s="35"/>
      <c r="F57" s="35"/>
      <c r="G57" s="35"/>
      <c r="H57" s="35"/>
      <c r="I57" s="199"/>
      <c r="L57" s="35" t="s">
        <v>31</v>
      </c>
      <c r="N57" s="5">
        <v>-1486126981.3633473</v>
      </c>
      <c r="O57" s="5">
        <v>-2344803360.6529684</v>
      </c>
      <c r="P57" s="5">
        <v>-4017056367.1928539</v>
      </c>
      <c r="Q57" s="54"/>
      <c r="R57" s="5">
        <v>-618174641.11507618</v>
      </c>
      <c r="S57" s="54"/>
      <c r="T57" s="5">
        <v>-568743297.90710294</v>
      </c>
      <c r="U57" s="54"/>
      <c r="V57" s="5">
        <v>-1956240575.3762815</v>
      </c>
      <c r="W57" s="54"/>
      <c r="X57" s="5">
        <v>-1439774081.6283622</v>
      </c>
      <c r="Y57" s="54"/>
      <c r="Z57" s="5">
        <v>-1327741015.4847734</v>
      </c>
      <c r="AA57" s="54"/>
      <c r="AB57" s="5">
        <v>-3051838818.9833221</v>
      </c>
      <c r="AC57" s="54"/>
      <c r="AD57" s="5">
        <v>-6181247243.0922852</v>
      </c>
      <c r="AE57" s="54"/>
      <c r="AF57" s="5">
        <v>-5224268487.2000017</v>
      </c>
      <c r="AG57" s="116"/>
      <c r="AH57" s="5">
        <v>-1086233745.0899997</v>
      </c>
      <c r="AI57" s="116"/>
      <c r="AJ57" s="5">
        <v>-512340326.23008895</v>
      </c>
    </row>
    <row r="58" spans="1:36" x14ac:dyDescent="0.25">
      <c r="A58" s="35"/>
      <c r="B58" s="221" t="s">
        <v>536</v>
      </c>
      <c r="C58" s="199">
        <v>601255302343.68384</v>
      </c>
      <c r="D58" s="199">
        <v>582307271393.125</v>
      </c>
      <c r="E58" s="5">
        <v>597066601629.78308</v>
      </c>
      <c r="F58" s="5">
        <v>584595169903.11206</v>
      </c>
      <c r="G58" s="5">
        <v>568371871637.83374</v>
      </c>
      <c r="H58" s="199">
        <f>565862428802.449-10^6</f>
        <v>565861428802.44897</v>
      </c>
      <c r="I58" s="199">
        <v>467292665270.32098</v>
      </c>
      <c r="J58" s="35"/>
      <c r="K58" s="35"/>
      <c r="L58" s="35" t="s">
        <v>32</v>
      </c>
      <c r="N58" s="5">
        <v>7449888227.0883913</v>
      </c>
      <c r="O58" s="5">
        <v>6751506028.287241</v>
      </c>
      <c r="P58" s="5">
        <v>6308918840.8910246</v>
      </c>
      <c r="Q58" s="54"/>
      <c r="R58" s="5">
        <v>5886058672.3608971</v>
      </c>
      <c r="S58" s="54"/>
      <c r="T58" s="5">
        <v>5397367302.4984474</v>
      </c>
      <c r="U58" s="54"/>
      <c r="V58" s="5">
        <v>4692125187.8126707</v>
      </c>
      <c r="W58" s="54"/>
      <c r="X58" s="5">
        <v>4010610497.5037293</v>
      </c>
      <c r="Y58" s="54"/>
      <c r="Z58" s="5">
        <v>3443847777.6865931</v>
      </c>
      <c r="AA58" s="54"/>
      <c r="AB58" s="5">
        <v>2673544734.8158684</v>
      </c>
      <c r="AC58" s="54"/>
      <c r="AD58" s="5">
        <v>1730582714.1977403</v>
      </c>
      <c r="AE58" s="54"/>
      <c r="AF58" s="5">
        <v>1165001615.8699999</v>
      </c>
      <c r="AG58" s="116"/>
      <c r="AH58" s="5">
        <v>1160554574.2800002</v>
      </c>
      <c r="AI58" s="116"/>
      <c r="AJ58" s="5">
        <v>1086435923.7</v>
      </c>
    </row>
    <row r="59" spans="1:36" x14ac:dyDescent="0.25">
      <c r="B59" s="198" t="s">
        <v>40</v>
      </c>
      <c r="C59" s="199">
        <v>8182168978.4242601</v>
      </c>
      <c r="D59" s="199">
        <v>8281985352.1956301</v>
      </c>
      <c r="E59" s="5">
        <v>8221637180.306386</v>
      </c>
      <c r="F59" s="5">
        <v>7886072079.5068731</v>
      </c>
      <c r="G59" s="5">
        <v>7873795678.7000046</v>
      </c>
      <c r="H59" s="199">
        <v>7477300499.5700016</v>
      </c>
      <c r="I59" s="199">
        <v>5470765684.5129004</v>
      </c>
      <c r="L59" s="35" t="s">
        <v>253</v>
      </c>
      <c r="N59" s="5">
        <v>-57987357408.585999</v>
      </c>
      <c r="O59" s="5">
        <v>-52282589416.206322</v>
      </c>
      <c r="P59" s="5">
        <v>-53589436404.045921</v>
      </c>
      <c r="Q59" s="54"/>
      <c r="R59" s="5">
        <v>-53609714694.508034</v>
      </c>
      <c r="S59" s="54"/>
      <c r="T59" s="5">
        <v>-51992451617.413132</v>
      </c>
      <c r="U59" s="54"/>
      <c r="V59" s="5">
        <v>-45690879604.231934</v>
      </c>
      <c r="W59" s="54"/>
      <c r="X59" s="5">
        <v>-38013477467.510551</v>
      </c>
      <c r="Y59" s="54"/>
      <c r="Z59" s="5">
        <v>-38419775539.957687</v>
      </c>
      <c r="AA59" s="54"/>
      <c r="AB59" s="5">
        <v>-43136863954.534897</v>
      </c>
      <c r="AC59" s="54"/>
      <c r="AD59" s="5">
        <v>-39717654862.133797</v>
      </c>
      <c r="AE59" s="54"/>
      <c r="AF59" s="5">
        <v>-6488723277.4634552</v>
      </c>
      <c r="AG59" s="116"/>
      <c r="AH59" s="5">
        <v>1206562104.8804562</v>
      </c>
      <c r="AI59" s="116"/>
      <c r="AJ59" s="5">
        <v>1893642614.7018991</v>
      </c>
    </row>
    <row r="60" spans="1:36" x14ac:dyDescent="0.25">
      <c r="B60" s="198" t="s">
        <v>537</v>
      </c>
      <c r="C60" s="199">
        <v>6694333482.0653839</v>
      </c>
      <c r="D60" s="199">
        <v>6575825122.6688995</v>
      </c>
      <c r="E60" s="5">
        <v>5570033940.7816401</v>
      </c>
      <c r="F60" s="5">
        <v>4862474345.1296425</v>
      </c>
      <c r="G60" s="5">
        <v>7498429174.5023756</v>
      </c>
      <c r="H60" s="199">
        <v>7011072338.3688459</v>
      </c>
      <c r="I60" s="199">
        <v>6678005340.8809109</v>
      </c>
      <c r="L60" s="35" t="s">
        <v>33</v>
      </c>
      <c r="N60" s="5">
        <v>-3029444089.2940812</v>
      </c>
      <c r="O60" s="5">
        <v>-3325716198.4924307</v>
      </c>
      <c r="P60" s="5">
        <v>-3668070002.6345525</v>
      </c>
      <c r="Q60" s="54"/>
      <c r="R60" s="5">
        <v>-3750469252.6052928</v>
      </c>
      <c r="S60" s="54"/>
      <c r="T60" s="5">
        <v>-3462398362.0472579</v>
      </c>
      <c r="U60" s="54"/>
      <c r="V60" s="5">
        <v>-3271127981.0924482</v>
      </c>
      <c r="W60" s="54"/>
      <c r="X60" s="5">
        <v>-4179573579.4897599</v>
      </c>
      <c r="Y60" s="54"/>
      <c r="Z60" s="5">
        <v>-4115751009.9026561</v>
      </c>
      <c r="AA60" s="54"/>
      <c r="AB60" s="5">
        <v>-3977788012.066833</v>
      </c>
      <c r="AC60" s="54"/>
      <c r="AD60" s="5">
        <v>-3978219940.1931028</v>
      </c>
      <c r="AE60" s="54"/>
      <c r="AF60" s="5">
        <v>1661137722.4289224</v>
      </c>
      <c r="AG60" s="116"/>
      <c r="AH60" s="5">
        <v>2279354784.6957541</v>
      </c>
      <c r="AI60" s="116"/>
      <c r="AJ60" s="5">
        <v>4288716422.6591225</v>
      </c>
    </row>
    <row r="61" spans="1:36" ht="15" customHeight="1" x14ac:dyDescent="0.25">
      <c r="B61" s="198" t="s">
        <v>44</v>
      </c>
      <c r="C61" s="199">
        <v>9768107033.4599991</v>
      </c>
      <c r="D61" s="199">
        <v>9484199596.4700108</v>
      </c>
      <c r="E61" s="5">
        <v>11572352876.110651</v>
      </c>
      <c r="F61" s="5">
        <v>11240261885.420656</v>
      </c>
      <c r="G61" s="5">
        <v>11142899380.49066</v>
      </c>
      <c r="H61" s="199">
        <f>10117571839.9007+390*10^6</f>
        <v>10507571839.9007</v>
      </c>
      <c r="I61" s="199">
        <v>16858800527.140648</v>
      </c>
      <c r="L61" s="237" t="s">
        <v>34</v>
      </c>
      <c r="M61" s="237"/>
      <c r="N61" s="201">
        <v>103893624874.10527</v>
      </c>
      <c r="O61" s="201">
        <v>107744349024.63947</v>
      </c>
      <c r="P61" s="7">
        <v>103980998382.26059</v>
      </c>
      <c r="Q61" s="43"/>
      <c r="R61" s="7">
        <v>106851756944.24207</v>
      </c>
      <c r="S61" s="43"/>
      <c r="T61" s="7">
        <v>108254474651.04529</v>
      </c>
      <c r="U61" s="43"/>
      <c r="V61" s="7">
        <v>112653778624.86311</v>
      </c>
      <c r="W61" s="43"/>
      <c r="X61" s="7">
        <v>119257686966.62614</v>
      </c>
      <c r="Y61" s="43"/>
      <c r="Z61" s="7">
        <v>118438692170.97493</v>
      </c>
      <c r="AA61" s="43"/>
      <c r="AB61" s="7">
        <v>120472871211.50063</v>
      </c>
      <c r="AC61" s="43"/>
      <c r="AD61" s="7">
        <v>119820287949.74254</v>
      </c>
      <c r="AE61" s="43"/>
      <c r="AF61" s="7">
        <v>62076589172.658463</v>
      </c>
      <c r="AG61" s="8"/>
      <c r="AH61" s="7">
        <v>74525244271.450714</v>
      </c>
      <c r="AI61" s="8"/>
      <c r="AJ61" s="7">
        <v>77721461211.810928</v>
      </c>
    </row>
    <row r="62" spans="1:36" ht="15" customHeight="1" x14ac:dyDescent="0.25">
      <c r="B62" s="198" t="s">
        <v>45</v>
      </c>
      <c r="C62" s="199">
        <v>27298503192.834503</v>
      </c>
      <c r="D62" s="199">
        <v>24480521416.1236</v>
      </c>
      <c r="E62" s="5">
        <v>23988019129.340466</v>
      </c>
      <c r="F62" s="5">
        <v>23108950765.482185</v>
      </c>
      <c r="G62" s="5">
        <v>20814101561.104778</v>
      </c>
      <c r="H62" s="199">
        <v>18705078817.957703</v>
      </c>
      <c r="I62" s="199">
        <v>15454054603.480257</v>
      </c>
      <c r="L62" s="119" t="s">
        <v>35</v>
      </c>
      <c r="M62" s="119"/>
      <c r="N62" s="199">
        <v>16448548177.391968</v>
      </c>
      <c r="O62" s="199">
        <v>16218940725.24971</v>
      </c>
      <c r="P62" s="5">
        <v>14120902139.174038</v>
      </c>
      <c r="Q62" s="43"/>
      <c r="R62" s="5">
        <v>11547999321.581285</v>
      </c>
      <c r="S62" s="43"/>
      <c r="T62" s="5">
        <v>9273848862.9620819</v>
      </c>
      <c r="U62" s="43"/>
      <c r="V62" s="5">
        <v>11519416194.482529</v>
      </c>
      <c r="W62" s="43"/>
      <c r="X62" s="5">
        <v>9631886926.9178772</v>
      </c>
      <c r="Y62" s="43"/>
      <c r="Z62" s="5">
        <v>7933961917.4240875</v>
      </c>
      <c r="AA62" s="43"/>
      <c r="AB62" s="5">
        <v>7326406213.6980286</v>
      </c>
      <c r="AC62" s="43"/>
      <c r="AD62" s="5">
        <v>7297115406.9177408</v>
      </c>
      <c r="AE62" s="43"/>
      <c r="AF62" s="5">
        <v>2668173010.5821242</v>
      </c>
      <c r="AG62" s="116"/>
      <c r="AH62" s="5">
        <v>4322628837.0082588</v>
      </c>
      <c r="AI62" s="116"/>
      <c r="AJ62" s="5">
        <v>4123487838.6229467</v>
      </c>
    </row>
    <row r="63" spans="1:36" ht="16.5" customHeight="1" x14ac:dyDescent="0.25">
      <c r="B63" s="198" t="s">
        <v>538</v>
      </c>
      <c r="C63" s="199">
        <v>1114712008.5780001</v>
      </c>
      <c r="D63" s="199">
        <v>1122305570.5599999</v>
      </c>
      <c r="E63" s="5">
        <v>1017486747.54</v>
      </c>
      <c r="F63" s="5">
        <v>1011601822.14</v>
      </c>
      <c r="G63" s="5">
        <v>1025163302.5500001</v>
      </c>
      <c r="H63" s="199">
        <v>632441211.94999993</v>
      </c>
      <c r="I63" s="199">
        <v>413267867.91058999</v>
      </c>
      <c r="L63" s="121" t="s">
        <v>36</v>
      </c>
      <c r="M63" s="121"/>
      <c r="N63" s="13">
        <v>120343173051.49724</v>
      </c>
      <c r="O63" s="13">
        <v>123963289749.88918</v>
      </c>
      <c r="P63" s="7">
        <v>118101900521.43463</v>
      </c>
      <c r="Q63" s="43"/>
      <c r="R63" s="7">
        <v>118399756265.82335</v>
      </c>
      <c r="S63" s="43"/>
      <c r="T63" s="7">
        <v>117528323514.00737</v>
      </c>
      <c r="U63" s="43"/>
      <c r="V63" s="7">
        <v>124173194819.34564</v>
      </c>
      <c r="W63" s="43"/>
      <c r="X63" s="7">
        <v>128889573893.54402</v>
      </c>
      <c r="Y63" s="43"/>
      <c r="Z63" s="7">
        <v>126373154088.39902</v>
      </c>
      <c r="AA63" s="43"/>
      <c r="AB63" s="7">
        <v>127799277425.19865</v>
      </c>
      <c r="AC63" s="43"/>
      <c r="AD63" s="7">
        <v>127117403356.66028</v>
      </c>
      <c r="AE63" s="43"/>
      <c r="AF63" s="7">
        <v>64744762183.240585</v>
      </c>
      <c r="AG63" s="8"/>
      <c r="AH63" s="7">
        <v>78847973108.458969</v>
      </c>
      <c r="AI63" s="8"/>
      <c r="AJ63" s="7">
        <v>81843949050.433868</v>
      </c>
    </row>
    <row r="64" spans="1:36" x14ac:dyDescent="0.25">
      <c r="B64" s="120" t="s">
        <v>47</v>
      </c>
      <c r="C64" s="222">
        <f>SUM(C58:C63)</f>
        <v>654313127039.04602</v>
      </c>
      <c r="D64" s="222">
        <f>SUM(D58:D63)</f>
        <v>632252108451.14331</v>
      </c>
      <c r="E64" s="222">
        <f>SUM(E58:E63)</f>
        <v>647436131503.86218</v>
      </c>
      <c r="F64" s="222">
        <f>SUM(F58:F63)-1*10^6</f>
        <v>632703530800.79138</v>
      </c>
      <c r="G64" s="222">
        <v>616726260735.1814</v>
      </c>
      <c r="H64" s="222">
        <f>SUM(H58:H63)-10^6</f>
        <v>610193893510.19629</v>
      </c>
      <c r="I64" s="222">
        <f>SUM(I58:I63)</f>
        <v>512167559294.24628</v>
      </c>
      <c r="L64" s="119"/>
      <c r="M64" s="119"/>
      <c r="N64" s="119"/>
      <c r="O64" s="119"/>
      <c r="P64" s="7"/>
      <c r="Q64" s="43"/>
      <c r="R64" s="7"/>
      <c r="S64" s="43"/>
      <c r="T64" s="7"/>
      <c r="U64" s="43"/>
      <c r="V64" s="7"/>
      <c r="W64" s="43"/>
      <c r="X64" s="7"/>
      <c r="Y64" s="43"/>
      <c r="Z64" s="7"/>
      <c r="AA64" s="43"/>
      <c r="AB64" s="7"/>
      <c r="AC64" s="43"/>
      <c r="AD64" s="7"/>
      <c r="AE64" s="43"/>
      <c r="AF64" s="7"/>
      <c r="AG64" s="8"/>
      <c r="AH64" s="7"/>
      <c r="AI64" s="8"/>
      <c r="AJ64" s="7"/>
    </row>
    <row r="65" spans="1:36" ht="15" customHeight="1" x14ac:dyDescent="0.25">
      <c r="A65" s="47"/>
      <c r="B65" s="47"/>
      <c r="C65" s="199"/>
      <c r="D65" s="199"/>
      <c r="E65" s="199"/>
      <c r="F65" s="199"/>
      <c r="G65" s="199"/>
      <c r="H65" s="199"/>
      <c r="I65" s="199"/>
      <c r="J65" s="47"/>
      <c r="K65" s="47"/>
      <c r="L65" s="238" t="s">
        <v>37</v>
      </c>
      <c r="M65" s="238"/>
      <c r="N65" s="197"/>
      <c r="O65" s="197"/>
      <c r="P65" s="5"/>
      <c r="Q65" s="43"/>
      <c r="R65" s="5"/>
      <c r="S65" s="43"/>
      <c r="T65" s="5"/>
      <c r="U65" s="43"/>
      <c r="V65" s="5"/>
      <c r="W65" s="43"/>
      <c r="X65" s="5"/>
      <c r="Y65" s="43"/>
      <c r="Z65" s="5"/>
      <c r="AA65" s="43"/>
      <c r="AB65" s="5"/>
      <c r="AC65" s="43"/>
      <c r="AD65" s="5"/>
      <c r="AE65" s="43"/>
      <c r="AF65" s="5"/>
    </row>
    <row r="66" spans="1:36" ht="15" customHeight="1" x14ac:dyDescent="0.25">
      <c r="B66" s="120" t="s">
        <v>48</v>
      </c>
      <c r="C66" s="199"/>
      <c r="D66" s="199"/>
      <c r="E66" s="199"/>
      <c r="F66" s="199"/>
      <c r="G66" s="199"/>
      <c r="H66" s="199"/>
      <c r="I66" s="199"/>
      <c r="L66" s="234" t="s">
        <v>38</v>
      </c>
      <c r="M66" s="234"/>
      <c r="N66" s="55"/>
      <c r="O66" s="55"/>
      <c r="P66" s="5"/>
      <c r="Q66" s="43"/>
      <c r="R66" s="5"/>
      <c r="S66" s="43"/>
      <c r="T66" s="5"/>
      <c r="U66" s="43"/>
      <c r="V66" s="5"/>
      <c r="W66" s="43"/>
      <c r="X66" s="5"/>
      <c r="Y66" s="43"/>
      <c r="Z66" s="5"/>
      <c r="AA66" s="43"/>
      <c r="AB66" s="5"/>
      <c r="AC66" s="43"/>
      <c r="AD66" s="5"/>
      <c r="AE66" s="43"/>
      <c r="AF66" s="5"/>
    </row>
    <row r="67" spans="1:36" ht="15" customHeight="1" x14ac:dyDescent="0.25">
      <c r="B67" s="198" t="s">
        <v>39</v>
      </c>
      <c r="C67" s="199"/>
      <c r="D67" s="199"/>
      <c r="E67" s="199"/>
      <c r="F67" s="199"/>
      <c r="G67" s="199"/>
      <c r="H67" s="199"/>
      <c r="I67" s="199"/>
      <c r="M67" s="55" t="s">
        <v>39</v>
      </c>
      <c r="N67" s="199">
        <v>550145254539.0238</v>
      </c>
      <c r="O67" s="199">
        <v>502669927698.22363</v>
      </c>
      <c r="P67" s="5">
        <v>467881485765.50122</v>
      </c>
      <c r="Q67" s="54"/>
      <c r="R67" s="5">
        <v>467292665270.32062</v>
      </c>
      <c r="S67" s="54"/>
      <c r="T67" s="5">
        <v>425084343305.32355</v>
      </c>
      <c r="U67" s="54"/>
      <c r="V67" s="5">
        <v>402392087781.03296</v>
      </c>
      <c r="W67" s="54"/>
      <c r="X67" s="5">
        <v>370146083069.76025</v>
      </c>
      <c r="Y67" s="54"/>
      <c r="Z67" s="5">
        <v>373728927410.13629</v>
      </c>
      <c r="AA67" s="54"/>
      <c r="AB67" s="5">
        <v>338882289838.33032</v>
      </c>
      <c r="AC67" s="54"/>
      <c r="AD67" s="5">
        <v>322987622078.66455</v>
      </c>
      <c r="AE67" s="54"/>
      <c r="AF67" s="5">
        <v>335136386657.05481</v>
      </c>
      <c r="AG67" s="116"/>
      <c r="AH67" s="5">
        <v>320610259225.92377</v>
      </c>
      <c r="AI67" s="116"/>
      <c r="AJ67" s="5">
        <v>253785453739.71484</v>
      </c>
    </row>
    <row r="68" spans="1:36" ht="15" customHeight="1" x14ac:dyDescent="0.25">
      <c r="B68" s="221" t="s">
        <v>536</v>
      </c>
      <c r="C68" s="199">
        <v>115252212671.61554</v>
      </c>
      <c r="D68" s="199">
        <v>140711477631.94101</v>
      </c>
      <c r="E68" s="199">
        <v>126282195806.20622</v>
      </c>
      <c r="F68" s="199">
        <v>114536662874.78474</v>
      </c>
      <c r="G68" s="199">
        <v>102371673473.89484</v>
      </c>
      <c r="H68" s="199">
        <v>81455443130.235992</v>
      </c>
      <c r="I68" s="199">
        <v>63114001861.718796</v>
      </c>
      <c r="M68" s="55" t="s">
        <v>40</v>
      </c>
      <c r="N68" s="199">
        <v>6252613070.4008007</v>
      </c>
      <c r="O68" s="199">
        <v>5814846531.7258987</v>
      </c>
      <c r="P68" s="5">
        <v>5583618458.8590994</v>
      </c>
      <c r="Q68" s="54"/>
      <c r="R68" s="5">
        <v>5470765684.5129004</v>
      </c>
      <c r="S68" s="54"/>
      <c r="T68" s="5">
        <v>4488095457.3924999</v>
      </c>
      <c r="U68" s="54"/>
      <c r="V68" s="5">
        <v>3703641005.0893002</v>
      </c>
      <c r="W68" s="54"/>
      <c r="X68" s="5">
        <v>3323855182.7299991</v>
      </c>
      <c r="Y68" s="54"/>
      <c r="Z68" s="5">
        <v>2999276107.3400002</v>
      </c>
      <c r="AA68" s="54"/>
      <c r="AB68" s="5">
        <v>2412526319.6100001</v>
      </c>
      <c r="AC68" s="54"/>
      <c r="AD68" s="5">
        <v>1833030396.5600002</v>
      </c>
      <c r="AE68" s="54"/>
      <c r="AF68" s="5">
        <v>1782217137.5600002</v>
      </c>
      <c r="AG68" s="116"/>
      <c r="AH68" s="5">
        <v>1386797123.7707238</v>
      </c>
      <c r="AI68" s="116"/>
      <c r="AJ68" s="5">
        <v>1088724835.9699609</v>
      </c>
    </row>
    <row r="69" spans="1:36" ht="15" customHeight="1" x14ac:dyDescent="0.25">
      <c r="B69" s="221" t="s">
        <v>539</v>
      </c>
      <c r="C69" s="199">
        <v>7171557704.3884983</v>
      </c>
      <c r="D69" s="199">
        <v>5404704891.0535994</v>
      </c>
      <c r="E69" s="199">
        <v>6024969548.4640579</v>
      </c>
      <c r="F69" s="199">
        <v>3976302587.4689579</v>
      </c>
      <c r="G69" s="199">
        <v>5780422249.4792213</v>
      </c>
      <c r="H69" s="199">
        <v>2956925502.4819703</v>
      </c>
      <c r="I69" s="199">
        <v>3211527760.38027</v>
      </c>
      <c r="M69" s="55" t="s">
        <v>20</v>
      </c>
      <c r="N69" s="199">
        <v>293332522.83520031</v>
      </c>
      <c r="O69" s="199">
        <v>213894909.6884</v>
      </c>
      <c r="P69" s="5">
        <v>817295319.73999989</v>
      </c>
      <c r="Q69" s="54"/>
      <c r="R69" s="5">
        <v>521247865.07300007</v>
      </c>
      <c r="S69" s="54"/>
      <c r="T69" s="5">
        <v>0</v>
      </c>
      <c r="U69" s="54"/>
      <c r="V69" s="5"/>
      <c r="W69" s="54"/>
      <c r="X69" s="5"/>
      <c r="Y69" s="54"/>
      <c r="Z69" s="5"/>
      <c r="AA69" s="54"/>
      <c r="AB69" s="5"/>
      <c r="AC69" s="54"/>
      <c r="AD69" s="5"/>
      <c r="AE69" s="54"/>
      <c r="AF69" s="5"/>
      <c r="AG69" s="116"/>
      <c r="AH69" s="5"/>
      <c r="AI69" s="116"/>
      <c r="AJ69" s="5"/>
    </row>
    <row r="70" spans="1:36" ht="15" customHeight="1" x14ac:dyDescent="0.25">
      <c r="B70" s="198" t="s">
        <v>40</v>
      </c>
      <c r="C70" s="199">
        <v>940539368.54746675</v>
      </c>
      <c r="D70" s="199">
        <v>976764455.50686693</v>
      </c>
      <c r="E70" s="199">
        <v>1020515836.9109329</v>
      </c>
      <c r="F70" s="199">
        <v>917231810.04583287</v>
      </c>
      <c r="G70" s="199">
        <v>992458023.5</v>
      </c>
      <c r="H70" s="199">
        <v>867896765.67000008</v>
      </c>
      <c r="I70" s="199">
        <v>697695140.4539001</v>
      </c>
      <c r="M70" s="55" t="s">
        <v>311</v>
      </c>
      <c r="N70" s="199">
        <v>5486162557.05583</v>
      </c>
      <c r="O70" s="199">
        <v>5612423649.1982822</v>
      </c>
      <c r="P70" s="5">
        <v>5183994650.6752319</v>
      </c>
      <c r="Q70" s="54"/>
      <c r="R70" s="5">
        <v>4422141525.7645121</v>
      </c>
      <c r="S70" s="54"/>
      <c r="T70" s="5">
        <v>5497715508.3605309</v>
      </c>
      <c r="U70" s="54"/>
      <c r="V70" s="5">
        <v>7798046596.5043163</v>
      </c>
      <c r="W70" s="54"/>
      <c r="X70" s="5">
        <v>7262919354.6000929</v>
      </c>
      <c r="Y70" s="54"/>
      <c r="Z70" s="5">
        <v>8635951494.5770531</v>
      </c>
      <c r="AA70" s="54"/>
      <c r="AB70" s="5">
        <v>8484008253.0652714</v>
      </c>
      <c r="AC70" s="54"/>
      <c r="AD70" s="5">
        <v>11226115766</v>
      </c>
      <c r="AE70" s="54"/>
      <c r="AF70" s="5">
        <v>0</v>
      </c>
      <c r="AH70" s="5">
        <v>0</v>
      </c>
      <c r="AJ70" s="5">
        <v>0</v>
      </c>
    </row>
    <row r="71" spans="1:36" ht="15" customHeight="1" x14ac:dyDescent="0.25">
      <c r="B71" s="198" t="s">
        <v>49</v>
      </c>
      <c r="C71" s="199">
        <v>8521358030.1265926</v>
      </c>
      <c r="D71" s="199">
        <v>8173276271.999506</v>
      </c>
      <c r="E71" s="199">
        <v>8065217469.1740026</v>
      </c>
      <c r="F71" s="199">
        <v>6550553193.6517315</v>
      </c>
      <c r="G71" s="199">
        <v>6058079213.3586311</v>
      </c>
      <c r="H71" s="199">
        <v>9093764160.4286022</v>
      </c>
      <c r="I71" s="199">
        <v>6118073195.3277073</v>
      </c>
      <c r="M71" s="35" t="s">
        <v>11</v>
      </c>
      <c r="N71" s="199">
        <v>1876195763.0690997</v>
      </c>
      <c r="O71" s="199">
        <v>1851441001.622</v>
      </c>
      <c r="P71" s="5">
        <v>1742181847.0324001</v>
      </c>
      <c r="Q71" s="54"/>
      <c r="R71" s="5">
        <v>1734615950.0434003</v>
      </c>
      <c r="S71" s="54"/>
      <c r="T71" s="5">
        <v>1817745992.1592999</v>
      </c>
      <c r="U71" s="54"/>
      <c r="V71" s="5">
        <v>2142889035.7298996</v>
      </c>
      <c r="W71" s="54"/>
      <c r="X71" s="5">
        <v>2152700201</v>
      </c>
      <c r="Y71" s="54"/>
      <c r="Z71" s="5">
        <v>2087166070.51</v>
      </c>
      <c r="AA71" s="54"/>
      <c r="AB71" s="5">
        <v>0</v>
      </c>
      <c r="AC71" s="54"/>
      <c r="AD71" s="5">
        <v>264650171</v>
      </c>
      <c r="AE71" s="54"/>
      <c r="AF71" s="5">
        <v>132456565</v>
      </c>
      <c r="AG71" s="116"/>
      <c r="AH71" s="5">
        <v>0</v>
      </c>
      <c r="AI71" s="116"/>
      <c r="AJ71" s="5">
        <v>0</v>
      </c>
    </row>
    <row r="72" spans="1:36" ht="15" customHeight="1" x14ac:dyDescent="0.25">
      <c r="B72" s="198" t="s">
        <v>537</v>
      </c>
      <c r="C72" s="199">
        <v>36623345995.400299</v>
      </c>
      <c r="D72" s="199">
        <v>34753530070.690689</v>
      </c>
      <c r="E72" s="199">
        <v>40631035468.665359</v>
      </c>
      <c r="F72" s="199">
        <v>38709087145.986504</v>
      </c>
      <c r="G72" s="199">
        <v>38972373708.517174</v>
      </c>
      <c r="H72" s="199">
        <f>42569552556.3012+10^6</f>
        <v>42570552556.301201</v>
      </c>
      <c r="I72" s="199">
        <f>38100371910.6406+10^6</f>
        <v>38101371910.640602</v>
      </c>
      <c r="L72" s="35" t="s">
        <v>41</v>
      </c>
      <c r="M72" s="55"/>
      <c r="N72" s="199">
        <v>194618108.69999999</v>
      </c>
      <c r="O72" s="199">
        <v>197447591.30000001</v>
      </c>
      <c r="P72" s="5">
        <v>200296031.90000001</v>
      </c>
      <c r="Q72" s="54"/>
      <c r="R72" s="5">
        <v>203075800.90000001</v>
      </c>
      <c r="S72" s="54"/>
      <c r="T72" s="5">
        <v>208720471</v>
      </c>
      <c r="U72" s="54"/>
      <c r="V72" s="5">
        <v>208720471</v>
      </c>
      <c r="W72" s="54"/>
      <c r="X72" s="5">
        <v>211465853</v>
      </c>
      <c r="Y72" s="54"/>
      <c r="Z72" s="5">
        <v>214320424</v>
      </c>
      <c r="AA72" s="54"/>
      <c r="AB72" s="5">
        <v>228314060</v>
      </c>
      <c r="AC72" s="54"/>
      <c r="AD72" s="5">
        <v>709886902</v>
      </c>
      <c r="AE72" s="54"/>
      <c r="AF72" s="5">
        <v>718791608</v>
      </c>
      <c r="AG72" s="116"/>
      <c r="AH72" s="5">
        <v>810018519</v>
      </c>
      <c r="AI72" s="116"/>
      <c r="AJ72" s="5">
        <v>852018858.72000039</v>
      </c>
    </row>
    <row r="73" spans="1:36" x14ac:dyDescent="0.25">
      <c r="B73" s="198" t="s">
        <v>540</v>
      </c>
      <c r="C73" s="199">
        <v>570779958.41000021</v>
      </c>
      <c r="D73" s="199">
        <v>377879654.78000003</v>
      </c>
      <c r="E73" s="204">
        <v>832670705.65000021</v>
      </c>
      <c r="F73" s="199">
        <v>1347686809.7054601</v>
      </c>
      <c r="G73" s="199">
        <v>806864690.91999996</v>
      </c>
      <c r="H73" s="199">
        <f>429*10^6</f>
        <v>429000000</v>
      </c>
      <c r="I73" s="199">
        <v>284438613.26999998</v>
      </c>
      <c r="L73" s="60" t="s">
        <v>42</v>
      </c>
      <c r="M73" s="55"/>
      <c r="N73" s="199">
        <v>256228658.94999999</v>
      </c>
      <c r="O73" s="199">
        <v>227380283.94999999</v>
      </c>
      <c r="P73" s="10">
        <v>234605715.94999999</v>
      </c>
      <c r="Q73" s="54"/>
      <c r="R73" s="10">
        <v>206982067.00059003</v>
      </c>
      <c r="S73" s="54"/>
      <c r="T73" s="10">
        <v>210606688.84</v>
      </c>
      <c r="U73" s="54"/>
      <c r="V73" s="10">
        <v>196419600.84</v>
      </c>
      <c r="W73" s="54"/>
      <c r="X73" s="10">
        <v>190646900.80000001</v>
      </c>
      <c r="Y73" s="54"/>
      <c r="Z73" s="10">
        <v>169437480.28</v>
      </c>
      <c r="AA73" s="54"/>
      <c r="AB73" s="10">
        <v>178609363.28</v>
      </c>
      <c r="AC73" s="54"/>
      <c r="AD73" s="10">
        <v>174756896.27000001</v>
      </c>
      <c r="AE73" s="54"/>
      <c r="AF73" s="10">
        <v>142664189.28</v>
      </c>
      <c r="AG73" s="116"/>
      <c r="AH73" s="5">
        <v>102661282.28</v>
      </c>
      <c r="AI73" s="116"/>
      <c r="AJ73" s="5">
        <v>72323136</v>
      </c>
    </row>
    <row r="74" spans="1:36" x14ac:dyDescent="0.25">
      <c r="B74" s="198" t="s">
        <v>538</v>
      </c>
      <c r="C74" s="199">
        <v>2212969582.7867994</v>
      </c>
      <c r="D74" s="199">
        <v>5996359940.7576008</v>
      </c>
      <c r="E74" s="205">
        <v>2893950714.7706003</v>
      </c>
      <c r="F74" s="199">
        <v>2200362027.255199</v>
      </c>
      <c r="G74" s="199">
        <v>1015066280.9260985</v>
      </c>
      <c r="H74" s="199">
        <f>4668757361.44401+10^6</f>
        <v>4669757361.4440098</v>
      </c>
      <c r="I74" s="199">
        <v>4398804675.3222294</v>
      </c>
      <c r="L74" s="60" t="s">
        <v>43</v>
      </c>
      <c r="M74" s="55"/>
      <c r="N74" s="55"/>
      <c r="O74" s="55"/>
      <c r="P74" s="10">
        <v>0</v>
      </c>
      <c r="Q74" s="54"/>
      <c r="R74" s="10">
        <v>0</v>
      </c>
      <c r="S74" s="54"/>
      <c r="T74" s="10">
        <v>0</v>
      </c>
      <c r="U74" s="54"/>
      <c r="V74" s="10">
        <v>0</v>
      </c>
      <c r="W74" s="54"/>
      <c r="X74" s="10"/>
      <c r="Y74" s="54"/>
      <c r="Z74" s="10">
        <v>0</v>
      </c>
      <c r="AA74" s="54"/>
      <c r="AB74" s="10">
        <v>1318078111</v>
      </c>
      <c r="AC74" s="54"/>
      <c r="AD74" s="10">
        <v>1333334539</v>
      </c>
      <c r="AE74" s="54"/>
      <c r="AF74" s="10">
        <v>1363712800</v>
      </c>
      <c r="AG74" s="116"/>
      <c r="AH74" s="5">
        <v>0</v>
      </c>
      <c r="AI74" s="116"/>
      <c r="AJ74" s="5">
        <v>0</v>
      </c>
    </row>
    <row r="75" spans="1:36" x14ac:dyDescent="0.25">
      <c r="B75" s="198"/>
      <c r="C75" s="215">
        <f>SUM(C68:C74)</f>
        <v>171292763311.27521</v>
      </c>
      <c r="D75" s="215">
        <f>SUM(D68:D74)</f>
        <v>196393992916.72925</v>
      </c>
      <c r="E75" s="215">
        <f>SUM(E68:E74)</f>
        <v>185750555549.84119</v>
      </c>
      <c r="F75" s="215">
        <f>SUM(F68:F74)</f>
        <v>168237886448.89844</v>
      </c>
      <c r="G75" s="215">
        <v>155995937640.59595</v>
      </c>
      <c r="H75" s="215">
        <f>SUM(H68:H74)+10^6</f>
        <v>142044339476.56177</v>
      </c>
      <c r="I75" s="215">
        <f>SUM(I68:I74)</f>
        <v>115925913157.11351</v>
      </c>
      <c r="L75" s="55" t="s">
        <v>44</v>
      </c>
      <c r="M75" s="55"/>
      <c r="N75" s="199">
        <v>19399906053.800648</v>
      </c>
      <c r="O75" s="199">
        <v>18250518748.50066</v>
      </c>
      <c r="P75" s="10">
        <v>17973470777.50066</v>
      </c>
      <c r="Q75" s="54"/>
      <c r="R75" s="10">
        <v>16858800527.140648</v>
      </c>
      <c r="S75" s="54"/>
      <c r="T75" s="10">
        <v>14511622103.244652</v>
      </c>
      <c r="U75" s="54"/>
      <c r="V75" s="10">
        <v>14180108456.690653</v>
      </c>
      <c r="W75" s="54"/>
      <c r="X75" s="10">
        <v>13720106294.040651</v>
      </c>
      <c r="Y75" s="54"/>
      <c r="Z75" s="10">
        <v>13384234053.040651</v>
      </c>
      <c r="AA75" s="54"/>
      <c r="AB75" s="10">
        <v>12304211748.590652</v>
      </c>
      <c r="AC75" s="54"/>
      <c r="AD75" s="10">
        <v>14450582671.590652</v>
      </c>
      <c r="AE75" s="54"/>
      <c r="AF75" s="10">
        <v>13685785278.590652</v>
      </c>
      <c r="AG75" s="116"/>
      <c r="AH75" s="5">
        <v>11950130317.687729</v>
      </c>
      <c r="AI75" s="116"/>
      <c r="AJ75" s="5">
        <v>10377155823.394402</v>
      </c>
    </row>
    <row r="76" spans="1:36" x14ac:dyDescent="0.25">
      <c r="A76" s="49"/>
      <c r="B76" s="198" t="s">
        <v>313</v>
      </c>
      <c r="C76" s="199">
        <v>0</v>
      </c>
      <c r="D76" s="199">
        <v>40583586.172855601</v>
      </c>
      <c r="E76" s="199">
        <v>57610024.580000013</v>
      </c>
      <c r="F76" s="199">
        <v>55875025.909999996</v>
      </c>
      <c r="G76" s="199">
        <v>0</v>
      </c>
      <c r="H76" s="199">
        <v>0</v>
      </c>
      <c r="I76" s="199">
        <v>0</v>
      </c>
      <c r="J76" s="49"/>
      <c r="K76" s="49"/>
      <c r="L76" s="234" t="s">
        <v>45</v>
      </c>
      <c r="M76" s="235"/>
      <c r="N76" s="199">
        <v>17964965447.391479</v>
      </c>
      <c r="O76" s="199">
        <v>17902132419.217754</v>
      </c>
      <c r="P76" s="10">
        <v>16153997961.018593</v>
      </c>
      <c r="Q76" s="50"/>
      <c r="R76" s="10">
        <v>15454054603.480257</v>
      </c>
      <c r="S76" s="50"/>
      <c r="T76" s="10">
        <v>15182042281.995857</v>
      </c>
      <c r="U76" s="50"/>
      <c r="V76" s="10">
        <v>14745170840.838379</v>
      </c>
      <c r="W76" s="50"/>
      <c r="X76" s="5">
        <v>14078432593.461863</v>
      </c>
      <c r="Y76" s="50"/>
      <c r="Z76" s="5">
        <v>12468297681.191505</v>
      </c>
      <c r="AA76" s="50"/>
      <c r="AB76" s="5">
        <v>12652414355.88311</v>
      </c>
      <c r="AC76" s="50"/>
      <c r="AD76" s="5">
        <v>12117115243.472744</v>
      </c>
      <c r="AE76" s="50"/>
      <c r="AF76" s="5">
        <v>10807920165.064529</v>
      </c>
      <c r="AG76" s="116"/>
      <c r="AH76" s="5">
        <v>10165926958.281136</v>
      </c>
      <c r="AI76" s="116"/>
      <c r="AJ76" s="5">
        <v>6839603540.6728401</v>
      </c>
    </row>
    <row r="77" spans="1:36" x14ac:dyDescent="0.25">
      <c r="A77" s="49"/>
      <c r="B77" s="120" t="s">
        <v>53</v>
      </c>
      <c r="C77" s="215">
        <f>C75+C76</f>
        <v>171292763311.27521</v>
      </c>
      <c r="D77" s="215">
        <f>D75+D76</f>
        <v>196434576502.9021</v>
      </c>
      <c r="E77" s="215">
        <f>E75+E76+1*10^6</f>
        <v>185809165574.42117</v>
      </c>
      <c r="F77" s="215">
        <f>F75+F76</f>
        <v>168293761474.80844</v>
      </c>
      <c r="G77" s="215">
        <f>G75+G76</f>
        <v>155995937640.59595</v>
      </c>
      <c r="H77" s="215">
        <f>H75+H76</f>
        <v>142044339476.56177</v>
      </c>
      <c r="I77" s="215">
        <f>I75+I76</f>
        <v>115925913157.11351</v>
      </c>
      <c r="J77" s="49"/>
      <c r="K77" s="49"/>
      <c r="L77" s="234" t="s">
        <v>46</v>
      </c>
      <c r="M77" s="235"/>
      <c r="N77" s="199">
        <v>0.01</v>
      </c>
      <c r="O77" s="199">
        <v>0.01</v>
      </c>
      <c r="P77" s="10">
        <v>3210000.01</v>
      </c>
      <c r="Q77" s="54"/>
      <c r="R77" s="10">
        <v>3210000.01</v>
      </c>
      <c r="S77" s="54"/>
      <c r="T77" s="5">
        <v>3200000.01</v>
      </c>
      <c r="U77" s="54"/>
      <c r="V77" s="5">
        <v>3200000.01</v>
      </c>
      <c r="W77" s="54"/>
      <c r="X77" s="10">
        <v>0</v>
      </c>
      <c r="Y77" s="54"/>
      <c r="Z77" s="10">
        <v>5335902.8</v>
      </c>
      <c r="AA77" s="54"/>
      <c r="AB77" s="10">
        <v>2786786296.2700005</v>
      </c>
      <c r="AC77" s="54"/>
      <c r="AD77" s="10">
        <v>2827377073.8799996</v>
      </c>
      <c r="AE77" s="54"/>
      <c r="AF77" s="10">
        <v>2747093135.2400002</v>
      </c>
      <c r="AG77" s="116"/>
      <c r="AH77" s="5">
        <v>2951928941.02</v>
      </c>
      <c r="AI77" s="116"/>
      <c r="AJ77" s="5">
        <v>2974283932</v>
      </c>
    </row>
    <row r="78" spans="1:36" ht="15" customHeight="1" x14ac:dyDescent="0.25">
      <c r="B78" s="120" t="s">
        <v>54</v>
      </c>
      <c r="C78" s="222">
        <f>C77+C64</f>
        <v>825605890350.32129</v>
      </c>
      <c r="D78" s="222">
        <f>D77+D64</f>
        <v>828686684954.04541</v>
      </c>
      <c r="E78" s="222">
        <f>E77+E64</f>
        <v>833245297078.28333</v>
      </c>
      <c r="F78" s="222">
        <f>F77+F64+10^6</f>
        <v>800998292275.59985</v>
      </c>
      <c r="G78" s="222">
        <f>G77+G64</f>
        <v>772722198375.77734</v>
      </c>
      <c r="H78" s="222">
        <f>H77+H64</f>
        <v>752238232986.75806</v>
      </c>
      <c r="I78" s="222">
        <f>I77+I64+10^6</f>
        <v>628094472451.35974</v>
      </c>
      <c r="L78" s="236" t="s">
        <v>47</v>
      </c>
      <c r="M78" s="236"/>
      <c r="N78" s="201">
        <v>601869276721.23669</v>
      </c>
      <c r="O78" s="201">
        <v>552739012833.43665</v>
      </c>
      <c r="P78" s="7">
        <v>515773156528.18726</v>
      </c>
      <c r="Q78" s="43"/>
      <c r="R78" s="7">
        <v>512167559294.24597</v>
      </c>
      <c r="S78" s="43"/>
      <c r="T78" s="7">
        <v>467005091808.32642</v>
      </c>
      <c r="U78" s="43"/>
      <c r="V78" s="7">
        <v>445370283787.7356</v>
      </c>
      <c r="W78" s="43"/>
      <c r="X78" s="7">
        <v>411086209449.39282</v>
      </c>
      <c r="Y78" s="43"/>
      <c r="Z78" s="7">
        <v>413690946623.87555</v>
      </c>
      <c r="AA78" s="43"/>
      <c r="AB78" s="7">
        <v>379247238346.02936</v>
      </c>
      <c r="AC78" s="43"/>
      <c r="AD78" s="7">
        <v>367925471738.43793</v>
      </c>
      <c r="AE78" s="43"/>
      <c r="AF78" s="7">
        <v>366517027535.78998</v>
      </c>
      <c r="AG78" s="8"/>
      <c r="AH78" s="7">
        <v>347977722367.96344</v>
      </c>
      <c r="AI78" s="8"/>
      <c r="AJ78" s="7">
        <v>275988563866.47205</v>
      </c>
    </row>
    <row r="79" spans="1:36" ht="14.1" customHeight="1" thickBot="1" x14ac:dyDescent="0.3">
      <c r="B79" s="120" t="s">
        <v>55</v>
      </c>
      <c r="C79" s="223">
        <f t="shared" ref="C79:I79" si="1">C78+C54</f>
        <v>961556860009.17432</v>
      </c>
      <c r="D79" s="223">
        <f t="shared" si="1"/>
        <v>959798710399.14099</v>
      </c>
      <c r="E79" s="223">
        <f t="shared" si="1"/>
        <v>959175111422.66479</v>
      </c>
      <c r="F79" s="223">
        <f t="shared" si="1"/>
        <v>930728382085.0022</v>
      </c>
      <c r="G79" s="223">
        <f t="shared" si="1"/>
        <v>895051766457.44385</v>
      </c>
      <c r="H79" s="223">
        <f t="shared" si="1"/>
        <v>873935218458.46753</v>
      </c>
      <c r="I79" s="223">
        <f t="shared" si="1"/>
        <v>746494228716.04712</v>
      </c>
      <c r="L79" s="235"/>
      <c r="M79" s="235"/>
      <c r="N79" s="119"/>
      <c r="O79" s="119"/>
      <c r="P79" s="5"/>
      <c r="Q79" s="43"/>
      <c r="R79" s="5"/>
      <c r="S79" s="43"/>
      <c r="T79" s="5"/>
      <c r="U79" s="43"/>
      <c r="V79" s="5"/>
      <c r="W79" s="43"/>
      <c r="X79" s="5"/>
      <c r="Y79" s="43"/>
      <c r="Z79" s="5"/>
      <c r="AA79" s="43"/>
      <c r="AB79" s="5"/>
      <c r="AC79" s="43"/>
      <c r="AD79" s="5"/>
      <c r="AE79" s="43"/>
      <c r="AF79" s="5"/>
    </row>
    <row r="80" spans="1:36" ht="15.75" thickTop="1" x14ac:dyDescent="0.25">
      <c r="A80" s="47"/>
      <c r="B80" s="47"/>
      <c r="C80" s="204"/>
      <c r="D80" s="204"/>
      <c r="E80" s="47"/>
      <c r="F80" s="204"/>
      <c r="G80" s="204"/>
      <c r="H80" s="204"/>
      <c r="I80" s="204"/>
      <c r="J80" s="47"/>
      <c r="K80" s="47"/>
      <c r="L80" s="237" t="s">
        <v>48</v>
      </c>
      <c r="M80" s="237"/>
      <c r="N80" s="45"/>
      <c r="O80" s="45"/>
      <c r="P80" s="5"/>
      <c r="Q80" s="43"/>
      <c r="R80" s="5"/>
      <c r="S80" s="43"/>
      <c r="T80" s="5"/>
      <c r="U80" s="43"/>
      <c r="V80" s="5"/>
      <c r="W80" s="43"/>
      <c r="X80" s="5"/>
      <c r="Y80" s="43"/>
      <c r="Z80" s="5"/>
      <c r="AA80" s="43"/>
      <c r="AB80" s="5"/>
      <c r="AC80" s="43"/>
      <c r="AD80" s="5"/>
      <c r="AE80" s="43"/>
      <c r="AF80" s="5"/>
    </row>
    <row r="81" spans="1:36" x14ac:dyDescent="0.25">
      <c r="C81" s="10"/>
      <c r="D81" s="10"/>
      <c r="F81" s="10"/>
      <c r="G81" s="10"/>
      <c r="H81" s="10"/>
      <c r="I81" s="10"/>
      <c r="L81" s="234" t="s">
        <v>38</v>
      </c>
      <c r="M81" s="235"/>
      <c r="N81" s="119"/>
      <c r="O81" s="119"/>
      <c r="P81" s="5"/>
      <c r="Q81" s="43"/>
      <c r="R81" s="5"/>
      <c r="S81" s="43"/>
      <c r="T81" s="5"/>
      <c r="U81" s="43"/>
      <c r="V81" s="5"/>
      <c r="W81" s="43"/>
      <c r="X81" s="5"/>
      <c r="Y81" s="43"/>
      <c r="Z81" s="5"/>
      <c r="AA81" s="43"/>
      <c r="AB81" s="5"/>
      <c r="AC81" s="43"/>
      <c r="AD81" s="5"/>
      <c r="AE81" s="43"/>
      <c r="AF81" s="5"/>
    </row>
    <row r="82" spans="1:36" x14ac:dyDescent="0.25">
      <c r="C82" s="10"/>
      <c r="D82" s="10"/>
      <c r="F82" s="10"/>
      <c r="G82" s="10"/>
      <c r="H82" s="10"/>
      <c r="I82" s="10"/>
      <c r="M82" s="58" t="s">
        <v>39</v>
      </c>
      <c r="N82" s="199">
        <v>101062527236.82301</v>
      </c>
      <c r="O82" s="199">
        <v>84574820245.817917</v>
      </c>
      <c r="P82" s="5">
        <v>77175012107.092087</v>
      </c>
      <c r="Q82" s="54"/>
      <c r="R82" s="5">
        <v>63114001861.718796</v>
      </c>
      <c r="S82" s="54"/>
      <c r="T82" s="5">
        <v>30326174324.210003</v>
      </c>
      <c r="U82" s="54"/>
      <c r="V82" s="5">
        <v>33928869811.320705</v>
      </c>
      <c r="W82" s="54"/>
      <c r="X82" s="5">
        <v>28587495539.430004</v>
      </c>
      <c r="Y82" s="54"/>
      <c r="Z82" s="5">
        <v>14484622317.529999</v>
      </c>
      <c r="AA82" s="54"/>
      <c r="AB82" s="5">
        <v>30909626189.764</v>
      </c>
      <c r="AC82" s="54"/>
      <c r="AD82" s="5">
        <v>28607625018.710003</v>
      </c>
      <c r="AE82" s="54"/>
      <c r="AF82" s="5">
        <v>10642535810.599998</v>
      </c>
      <c r="AG82" s="116"/>
      <c r="AH82" s="5">
        <v>12148410985.209997</v>
      </c>
      <c r="AI82" s="116"/>
      <c r="AJ82" s="5">
        <v>20616170894.52</v>
      </c>
    </row>
    <row r="83" spans="1:36" x14ac:dyDescent="0.25">
      <c r="C83" s="10"/>
      <c r="D83" s="10"/>
      <c r="F83" s="10"/>
      <c r="G83" s="10"/>
      <c r="H83" s="10"/>
      <c r="I83" s="10"/>
      <c r="M83" s="35" t="s">
        <v>40</v>
      </c>
      <c r="N83" s="199">
        <v>696285088.52819991</v>
      </c>
      <c r="O83" s="199">
        <v>687717371.54309976</v>
      </c>
      <c r="P83" s="5">
        <v>707853230.93089962</v>
      </c>
      <c r="Q83" s="54"/>
      <c r="R83" s="5">
        <v>697695140.4539001</v>
      </c>
      <c r="S83" s="54"/>
      <c r="T83" s="5">
        <v>600150372.82749987</v>
      </c>
      <c r="U83" s="54"/>
      <c r="V83" s="5">
        <v>470754709.4070999</v>
      </c>
      <c r="W83" s="54"/>
      <c r="X83" s="5">
        <v>443851781.5</v>
      </c>
      <c r="Y83" s="54"/>
      <c r="Z83" s="5">
        <v>454644376.5</v>
      </c>
      <c r="AA83" s="54"/>
      <c r="AB83" s="5">
        <v>413927790</v>
      </c>
      <c r="AC83" s="54"/>
      <c r="AD83" s="5">
        <v>356225931</v>
      </c>
      <c r="AE83" s="54"/>
      <c r="AF83" s="5">
        <v>330220765</v>
      </c>
      <c r="AG83" s="116"/>
      <c r="AH83" s="5">
        <v>259117676.92266876</v>
      </c>
      <c r="AI83" s="116"/>
      <c r="AJ83" s="5">
        <v>346692455.96381825</v>
      </c>
    </row>
    <row r="84" spans="1:36" ht="15" customHeight="1" x14ac:dyDescent="0.25">
      <c r="A84" s="64"/>
      <c r="B84" s="64"/>
      <c r="C84" s="10"/>
      <c r="D84" s="10"/>
      <c r="E84" s="64"/>
      <c r="F84" s="10"/>
      <c r="G84" s="10"/>
      <c r="H84" s="10"/>
      <c r="I84" s="10"/>
      <c r="J84" s="64"/>
      <c r="K84" s="64"/>
      <c r="M84" s="35" t="s">
        <v>49</v>
      </c>
      <c r="N84" s="199">
        <v>7977506814.909955</v>
      </c>
      <c r="O84" s="199">
        <v>7144820675.9213409</v>
      </c>
      <c r="P84" s="5">
        <v>7112321835.2295113</v>
      </c>
      <c r="Q84" s="54"/>
      <c r="R84" s="5">
        <v>6118073195.3277073</v>
      </c>
      <c r="S84" s="54"/>
      <c r="T84" s="5">
        <v>6739416874.5639982</v>
      </c>
      <c r="U84" s="54"/>
      <c r="V84" s="5">
        <v>7160066036.304841</v>
      </c>
      <c r="W84" s="54"/>
      <c r="X84" s="5">
        <v>5284888171.5162249</v>
      </c>
      <c r="Y84" s="54"/>
      <c r="Z84" s="5">
        <v>5609283014.3265934</v>
      </c>
      <c r="AA84" s="54"/>
      <c r="AB84" s="5">
        <v>5097932001.4458895</v>
      </c>
      <c r="AC84" s="54"/>
      <c r="AD84" s="5">
        <v>5413461715.0685291</v>
      </c>
      <c r="AE84" s="54"/>
      <c r="AF84" s="5">
        <v>3245395386.4976735</v>
      </c>
      <c r="AG84" s="116"/>
      <c r="AH84" s="5">
        <v>3732896943.2695298</v>
      </c>
      <c r="AI84" s="116"/>
      <c r="AJ84" s="5">
        <v>3035580451.0570579</v>
      </c>
    </row>
    <row r="85" spans="1:36" ht="9.9499999999999993" hidden="1" customHeight="1" x14ac:dyDescent="0.25">
      <c r="A85" s="64"/>
      <c r="B85" s="64"/>
      <c r="C85" s="10"/>
      <c r="D85" s="10"/>
      <c r="E85" s="64"/>
      <c r="F85" s="10"/>
      <c r="G85" s="10"/>
      <c r="H85" s="10"/>
      <c r="I85" s="10"/>
      <c r="J85" s="64"/>
      <c r="K85" s="64"/>
      <c r="M85" s="65" t="s">
        <v>50</v>
      </c>
      <c r="N85" s="65"/>
      <c r="O85" s="65"/>
      <c r="P85" s="11"/>
      <c r="R85" s="11"/>
      <c r="T85" s="11"/>
      <c r="V85" s="11"/>
      <c r="X85" s="11"/>
      <c r="Z85" s="11"/>
      <c r="AB85" s="11"/>
      <c r="AD85" s="11"/>
      <c r="AF85" s="11"/>
      <c r="AG85" s="116"/>
      <c r="AH85" s="5"/>
      <c r="AI85" s="116"/>
      <c r="AJ85" s="5"/>
    </row>
    <row r="86" spans="1:36" ht="9.9499999999999993" hidden="1" customHeight="1" x14ac:dyDescent="0.25">
      <c r="A86" s="64"/>
      <c r="B86" s="64"/>
      <c r="C86" s="10"/>
      <c r="D86" s="10"/>
      <c r="E86" s="64"/>
      <c r="F86" s="10"/>
      <c r="G86" s="10"/>
      <c r="H86" s="10"/>
      <c r="I86" s="10"/>
      <c r="J86" s="64"/>
      <c r="K86" s="64"/>
      <c r="M86" s="66" t="s">
        <v>11</v>
      </c>
      <c r="N86" s="66"/>
      <c r="O86" s="66"/>
      <c r="P86" s="5"/>
      <c r="Q86" s="54"/>
      <c r="R86" s="5"/>
      <c r="S86" s="54"/>
      <c r="T86" s="5"/>
      <c r="U86" s="54"/>
      <c r="V86" s="5"/>
      <c r="W86" s="54"/>
      <c r="X86" s="5"/>
      <c r="Y86" s="54"/>
      <c r="Z86" s="5"/>
      <c r="AA86" s="54"/>
      <c r="AB86" s="5"/>
      <c r="AC86" s="54"/>
      <c r="AD86" s="5"/>
      <c r="AE86" s="54"/>
      <c r="AF86" s="5"/>
      <c r="AG86" s="116"/>
      <c r="AH86" s="5"/>
      <c r="AI86" s="116"/>
      <c r="AJ86" s="5"/>
    </row>
    <row r="87" spans="1:36" ht="14.1" customHeight="1" x14ac:dyDescent="0.25">
      <c r="A87" s="64"/>
      <c r="B87" s="64"/>
      <c r="C87" s="10"/>
      <c r="D87" s="10"/>
      <c r="E87" s="64"/>
      <c r="F87" s="10"/>
      <c r="G87" s="10"/>
      <c r="H87" s="10"/>
      <c r="I87" s="10"/>
      <c r="J87" s="64"/>
      <c r="K87" s="64"/>
      <c r="M87" s="35" t="s">
        <v>311</v>
      </c>
      <c r="N87" s="199">
        <v>997440000</v>
      </c>
      <c r="O87" s="199">
        <v>996720000</v>
      </c>
      <c r="P87" s="5">
        <v>984480000.00000012</v>
      </c>
      <c r="Q87" s="54"/>
      <c r="R87" s="5">
        <v>986602800</v>
      </c>
      <c r="S87" s="54"/>
      <c r="T87" s="5">
        <v>993434399.99999988</v>
      </c>
      <c r="U87" s="54"/>
      <c r="V87" s="5">
        <v>978624000.00000012</v>
      </c>
      <c r="W87" s="54"/>
      <c r="X87" s="5">
        <v>947303999.99999988</v>
      </c>
      <c r="Y87" s="54"/>
      <c r="Z87" s="5">
        <v>909720000</v>
      </c>
      <c r="AA87" s="54"/>
      <c r="AB87" s="5">
        <v>891120000.00000012</v>
      </c>
      <c r="AC87" s="54"/>
      <c r="AD87" s="5">
        <v>890120000.00000012</v>
      </c>
      <c r="AE87" s="54"/>
      <c r="AF87" s="5">
        <v>0</v>
      </c>
      <c r="AG87" s="116"/>
      <c r="AH87" s="5">
        <v>0</v>
      </c>
      <c r="AI87" s="116"/>
      <c r="AJ87" s="5">
        <v>0</v>
      </c>
    </row>
    <row r="88" spans="1:36" ht="15" customHeight="1" x14ac:dyDescent="0.25">
      <c r="A88" s="35"/>
      <c r="B88" s="35"/>
      <c r="C88" s="10"/>
      <c r="D88" s="10"/>
      <c r="E88" s="35"/>
      <c r="F88" s="10"/>
      <c r="G88" s="10"/>
      <c r="H88" s="10"/>
      <c r="I88" s="10"/>
      <c r="J88" s="35"/>
      <c r="K88" s="35"/>
      <c r="M88" s="35" t="s">
        <v>20</v>
      </c>
      <c r="N88" s="199">
        <v>2338038321.9200001</v>
      </c>
      <c r="O88" s="199">
        <v>3380308940.8949995</v>
      </c>
      <c r="P88" s="5">
        <v>3926413121.7799997</v>
      </c>
      <c r="Q88" s="54"/>
      <c r="R88" s="5">
        <v>1654002007.0795002</v>
      </c>
      <c r="S88" s="54"/>
      <c r="T88" s="5">
        <v>1512415658.98685</v>
      </c>
      <c r="U88" s="54"/>
      <c r="V88" s="5">
        <v>2416713544.7824802</v>
      </c>
      <c r="W88" s="54"/>
      <c r="X88" s="5">
        <v>2326236538.4393139</v>
      </c>
      <c r="Y88" s="54"/>
      <c r="Z88" s="5">
        <v>4209080249.0400014</v>
      </c>
      <c r="AA88" s="54"/>
      <c r="AB88" s="5">
        <v>7383324671.2762003</v>
      </c>
      <c r="AC88" s="54"/>
      <c r="AD88" s="5">
        <v>5400054529.4900007</v>
      </c>
      <c r="AE88" s="54"/>
      <c r="AF88" s="5">
        <v>1069966145.75</v>
      </c>
      <c r="AG88" s="116"/>
      <c r="AH88" s="5">
        <v>0</v>
      </c>
      <c r="AI88" s="116"/>
      <c r="AJ88" s="5">
        <v>894710672.08000016</v>
      </c>
    </row>
    <row r="89" spans="1:36" ht="30" x14ac:dyDescent="0.25">
      <c r="C89" s="10"/>
      <c r="D89" s="10"/>
      <c r="F89" s="10"/>
      <c r="G89" s="10"/>
      <c r="H89" s="10"/>
      <c r="I89" s="10"/>
      <c r="M89" s="153" t="s">
        <v>357</v>
      </c>
      <c r="N89" s="199">
        <v>49117845991.524239</v>
      </c>
      <c r="O89" s="199">
        <v>37140623845.307564</v>
      </c>
      <c r="P89" s="11">
        <v>49186995566.618385</v>
      </c>
      <c r="Q89" s="154"/>
      <c r="R89" s="11">
        <v>38672294863.94133</v>
      </c>
      <c r="S89" s="154"/>
      <c r="T89" s="11">
        <v>54241491157.319717</v>
      </c>
      <c r="U89" s="154"/>
      <c r="V89" s="11">
        <v>45431503374.325142</v>
      </c>
      <c r="W89" s="154"/>
      <c r="X89" s="11">
        <v>72745027780.991379</v>
      </c>
      <c r="Y89" s="154"/>
      <c r="Z89" s="11">
        <v>71635768635.652206</v>
      </c>
      <c r="AA89" s="154"/>
      <c r="AB89" s="11">
        <v>59800524035.979996</v>
      </c>
      <c r="AC89" s="154"/>
      <c r="AD89" s="11">
        <v>50742553601.837006</v>
      </c>
      <c r="AE89" s="154"/>
      <c r="AF89" s="11">
        <v>42622465721.619987</v>
      </c>
      <c r="AG89" s="155"/>
      <c r="AH89" s="11">
        <v>34295906305.297184</v>
      </c>
      <c r="AI89" s="155"/>
      <c r="AJ89" s="11">
        <v>31477390299.370804</v>
      </c>
    </row>
    <row r="90" spans="1:36" ht="15" customHeight="1" x14ac:dyDescent="0.25">
      <c r="C90" s="10"/>
      <c r="D90" s="10"/>
      <c r="F90" s="10"/>
      <c r="G90" s="10"/>
      <c r="H90" s="10"/>
      <c r="I90" s="10"/>
      <c r="L90" s="35" t="s">
        <v>41</v>
      </c>
      <c r="N90" s="199">
        <v>11256419.76000002</v>
      </c>
      <c r="O90" s="199">
        <v>11256419.709999979</v>
      </c>
      <c r="P90" s="5">
        <v>11237461.659999996</v>
      </c>
      <c r="Q90" s="61"/>
      <c r="R90" s="5">
        <v>11256419.960000008</v>
      </c>
      <c r="S90" s="61"/>
      <c r="T90" s="5">
        <v>8379721.9199999869</v>
      </c>
      <c r="U90" s="61"/>
      <c r="V90" s="5">
        <v>11178449.219999999</v>
      </c>
      <c r="W90" s="61"/>
      <c r="X90" s="5">
        <v>11293305.020000011</v>
      </c>
      <c r="Y90" s="61"/>
      <c r="Z90" s="5">
        <v>11237461.319999991</v>
      </c>
      <c r="AA90" s="61"/>
      <c r="AB90" s="5">
        <v>11797.380000003614</v>
      </c>
      <c r="AC90" s="61"/>
      <c r="AD90" s="5">
        <v>29978918.430000015</v>
      </c>
      <c r="AE90" s="61"/>
      <c r="AF90" s="5">
        <v>39076791.710000008</v>
      </c>
      <c r="AG90" s="116"/>
      <c r="AH90" s="5">
        <v>38178023.960000016</v>
      </c>
      <c r="AI90" s="116"/>
      <c r="AJ90" s="5">
        <v>39314434.049999982</v>
      </c>
    </row>
    <row r="91" spans="1:36" ht="15" customHeight="1" x14ac:dyDescent="0.25">
      <c r="A91" s="49"/>
      <c r="B91" s="49"/>
      <c r="C91" s="10"/>
      <c r="D91" s="10"/>
      <c r="E91" s="49"/>
      <c r="F91" s="10"/>
      <c r="G91" s="10"/>
      <c r="H91" s="10"/>
      <c r="I91" s="10"/>
      <c r="J91" s="49"/>
      <c r="K91" s="49"/>
      <c r="L91" s="60" t="s">
        <v>42</v>
      </c>
      <c r="M91" s="60"/>
      <c r="N91" s="204">
        <v>325326316.41999996</v>
      </c>
      <c r="O91" s="204">
        <v>325249298.42000002</v>
      </c>
      <c r="P91" s="10">
        <v>275246504.41999996</v>
      </c>
      <c r="Q91" s="54"/>
      <c r="R91" s="10">
        <v>271395304</v>
      </c>
      <c r="S91" s="54"/>
      <c r="T91" s="10">
        <v>222161017.41999999</v>
      </c>
      <c r="U91" s="54"/>
      <c r="V91" s="10">
        <v>226631574.41999999</v>
      </c>
      <c r="W91" s="54"/>
      <c r="X91" s="10">
        <v>232281545.77999997</v>
      </c>
      <c r="Y91" s="54"/>
      <c r="Z91" s="10">
        <v>178910464.75999999</v>
      </c>
      <c r="AA91" s="54"/>
      <c r="AB91" s="10">
        <v>170723647.75999999</v>
      </c>
      <c r="AC91" s="54"/>
      <c r="AD91" s="10">
        <v>242846887.78999996</v>
      </c>
      <c r="AE91" s="54"/>
      <c r="AF91" s="10">
        <v>252264567.75999999</v>
      </c>
      <c r="AG91" s="116"/>
      <c r="AH91" s="5">
        <v>88903701.75999999</v>
      </c>
      <c r="AI91" s="116"/>
      <c r="AJ91" s="5">
        <v>66720909.760000005</v>
      </c>
    </row>
    <row r="92" spans="1:36" ht="15" customHeight="1" x14ac:dyDescent="0.25">
      <c r="A92" s="49"/>
      <c r="B92" s="49"/>
      <c r="E92" s="49"/>
      <c r="J92" s="49"/>
      <c r="K92" s="49"/>
      <c r="L92" s="60" t="s">
        <v>43</v>
      </c>
      <c r="M92" s="60"/>
      <c r="N92" s="10">
        <v>0</v>
      </c>
      <c r="O92" s="10">
        <v>0</v>
      </c>
      <c r="P92" s="10">
        <v>0</v>
      </c>
      <c r="Q92" s="54"/>
      <c r="R92" s="10">
        <v>0</v>
      </c>
      <c r="S92" s="54"/>
      <c r="T92" s="10">
        <v>0</v>
      </c>
      <c r="U92" s="54"/>
      <c r="V92" s="10">
        <v>0</v>
      </c>
      <c r="W92" s="54"/>
      <c r="X92" s="10">
        <v>0</v>
      </c>
      <c r="Y92" s="54"/>
      <c r="Z92" s="10">
        <v>0</v>
      </c>
      <c r="AA92" s="54"/>
      <c r="AB92" s="10">
        <v>59621927.280000001</v>
      </c>
      <c r="AC92" s="54"/>
      <c r="AD92" s="10">
        <v>60163658.419999987</v>
      </c>
      <c r="AE92" s="54"/>
      <c r="AF92" s="10">
        <v>61163658.719999999</v>
      </c>
      <c r="AG92" s="116"/>
      <c r="AH92" s="5">
        <v>641760.17000000004</v>
      </c>
      <c r="AI92" s="116"/>
      <c r="AJ92" s="5">
        <v>0</v>
      </c>
    </row>
    <row r="93" spans="1:36" ht="15" customHeight="1" x14ac:dyDescent="0.25">
      <c r="A93" s="49"/>
      <c r="B93" s="49"/>
      <c r="E93" s="49"/>
      <c r="J93" s="49"/>
      <c r="K93" s="49"/>
      <c r="L93" s="60" t="s">
        <v>44</v>
      </c>
      <c r="M93" s="60"/>
      <c r="N93" s="10">
        <v>0</v>
      </c>
      <c r="O93" s="10">
        <v>0</v>
      </c>
      <c r="P93" s="10">
        <v>0</v>
      </c>
      <c r="Q93" s="54"/>
      <c r="R93" s="10">
        <v>0</v>
      </c>
      <c r="S93" s="54"/>
      <c r="T93" s="10">
        <v>0</v>
      </c>
      <c r="U93" s="54"/>
      <c r="V93" s="10">
        <v>0</v>
      </c>
      <c r="W93" s="54"/>
      <c r="X93" s="10">
        <v>0</v>
      </c>
      <c r="Y93" s="54"/>
      <c r="Z93" s="10">
        <v>0</v>
      </c>
      <c r="AA93" s="54"/>
      <c r="AB93" s="135">
        <v>0</v>
      </c>
      <c r="AC93" s="54"/>
      <c r="AD93" s="10">
        <v>0</v>
      </c>
      <c r="AE93" s="54"/>
      <c r="AF93" s="10">
        <v>0</v>
      </c>
      <c r="AG93" s="116"/>
      <c r="AH93" s="5">
        <v>4243380.2369999997</v>
      </c>
      <c r="AI93" s="116"/>
      <c r="AJ93" s="5">
        <v>0</v>
      </c>
    </row>
    <row r="94" spans="1:36" s="40" customFormat="1" ht="15" customHeight="1" x14ac:dyDescent="0.25">
      <c r="A94" s="67"/>
      <c r="B94" s="67"/>
      <c r="C94" s="41"/>
      <c r="D94" s="41"/>
      <c r="E94" s="67"/>
      <c r="F94" s="41"/>
      <c r="G94" s="41"/>
      <c r="H94" s="41"/>
      <c r="I94" s="41"/>
      <c r="J94" s="67"/>
      <c r="K94" s="67"/>
      <c r="L94" s="234" t="s">
        <v>51</v>
      </c>
      <c r="M94" s="234"/>
      <c r="N94" s="205">
        <v>524525351.38160008</v>
      </c>
      <c r="O94" s="205">
        <v>394949701.63859922</v>
      </c>
      <c r="P94" s="12">
        <v>892630022.85639977</v>
      </c>
      <c r="Q94" s="54"/>
      <c r="R94" s="12">
        <v>4117152951.3622279</v>
      </c>
      <c r="S94" s="54"/>
      <c r="T94" s="12">
        <v>443891132.83189958</v>
      </c>
      <c r="U94" s="54"/>
      <c r="V94" s="12">
        <v>846112602.28752708</v>
      </c>
      <c r="W94" s="54"/>
      <c r="X94" s="12">
        <v>3367552903.3989968</v>
      </c>
      <c r="Y94" s="54"/>
      <c r="Z94" s="12">
        <v>3281170822.0804148</v>
      </c>
      <c r="AA94" s="54"/>
      <c r="AB94" s="12">
        <v>714210423.36100018</v>
      </c>
      <c r="AC94" s="54"/>
      <c r="AD94" s="12">
        <v>1055304900.6179997</v>
      </c>
      <c r="AE94" s="54"/>
      <c r="AF94" s="12">
        <v>2266475146.9999976</v>
      </c>
      <c r="AG94" s="116"/>
      <c r="AH94" s="5">
        <v>2054075946.6099958</v>
      </c>
      <c r="AI94" s="116"/>
      <c r="AJ94" s="5">
        <v>1747506241.7534385</v>
      </c>
    </row>
    <row r="95" spans="1:36" ht="15" customHeight="1" x14ac:dyDescent="0.25">
      <c r="A95" s="49"/>
      <c r="B95" s="49"/>
      <c r="E95" s="49"/>
      <c r="J95" s="49"/>
      <c r="K95" s="49"/>
      <c r="L95" s="55" t="s">
        <v>52</v>
      </c>
      <c r="M95" s="55"/>
      <c r="N95" s="204">
        <v>1474428006.020993</v>
      </c>
      <c r="O95" s="204">
        <v>1343303918.5846663</v>
      </c>
      <c r="P95" s="10">
        <v>575094515</v>
      </c>
      <c r="Q95" s="54"/>
      <c r="R95" s="10">
        <v>284438613.26999998</v>
      </c>
      <c r="S95" s="54"/>
      <c r="T95" s="10">
        <v>1428592334.6361003</v>
      </c>
      <c r="U95" s="54"/>
      <c r="V95" s="10">
        <v>1298766995.8199995</v>
      </c>
      <c r="W95" s="54"/>
      <c r="X95" s="10">
        <v>711533066.99999976</v>
      </c>
      <c r="Y95" s="54"/>
      <c r="Z95" s="10">
        <v>503743521.38000154</v>
      </c>
      <c r="AA95" s="54"/>
      <c r="AB95" s="10">
        <v>835628808.00000048</v>
      </c>
      <c r="AC95" s="54"/>
      <c r="AD95" s="10">
        <v>662592756.0489738</v>
      </c>
      <c r="AE95" s="54"/>
      <c r="AF95" s="10">
        <v>264131386</v>
      </c>
      <c r="AG95" s="116"/>
      <c r="AH95" s="5">
        <v>107631300.69109602</v>
      </c>
      <c r="AI95" s="116"/>
      <c r="AJ95" s="5">
        <v>147000000</v>
      </c>
    </row>
    <row r="96" spans="1:36" x14ac:dyDescent="0.25">
      <c r="L96" s="236"/>
      <c r="M96" s="236"/>
      <c r="N96" s="201">
        <v>164525179547.28802</v>
      </c>
      <c r="O96" s="201">
        <v>135999770417.8382</v>
      </c>
      <c r="P96" s="7">
        <v>140846284365.58731</v>
      </c>
      <c r="Q96" s="43"/>
      <c r="R96" s="7">
        <v>115925913157.11348</v>
      </c>
      <c r="S96" s="43"/>
      <c r="T96" s="7">
        <v>96514106994.716049</v>
      </c>
      <c r="U96" s="43"/>
      <c r="V96" s="7">
        <v>92771221097.887772</v>
      </c>
      <c r="W96" s="43"/>
      <c r="X96" s="7">
        <v>114657464633.07593</v>
      </c>
      <c r="Y96" s="43"/>
      <c r="Z96" s="7">
        <v>101279180862.58922</v>
      </c>
      <c r="AA96" s="43"/>
      <c r="AB96" s="7">
        <v>106277651292.2471</v>
      </c>
      <c r="AC96" s="43"/>
      <c r="AD96" s="7">
        <v>93460927917.412491</v>
      </c>
      <c r="AE96" s="43"/>
      <c r="AF96" s="7">
        <v>60791695380.657661</v>
      </c>
      <c r="AG96" s="8"/>
      <c r="AH96" s="7">
        <v>52730006024.127464</v>
      </c>
      <c r="AI96" s="8"/>
      <c r="AJ96" s="7">
        <v>58372086358.55513</v>
      </c>
    </row>
    <row r="97" spans="12:36" x14ac:dyDescent="0.25">
      <c r="L97" s="119" t="s">
        <v>313</v>
      </c>
      <c r="M97" s="121"/>
      <c r="N97" s="204">
        <v>0</v>
      </c>
      <c r="O97" s="204">
        <v>752155476.72111118</v>
      </c>
      <c r="P97" s="128">
        <v>3826863719.3473897</v>
      </c>
      <c r="Q97" s="43"/>
      <c r="R97" s="128">
        <v>0</v>
      </c>
      <c r="S97" s="43"/>
      <c r="T97" s="128">
        <v>0</v>
      </c>
      <c r="U97" s="43"/>
      <c r="V97" s="128">
        <v>0</v>
      </c>
      <c r="W97" s="43"/>
      <c r="X97" s="128">
        <v>0</v>
      </c>
      <c r="Y97" s="43"/>
      <c r="Z97" s="128">
        <v>0</v>
      </c>
      <c r="AA97" s="43"/>
      <c r="AB97" s="128">
        <v>1985414297</v>
      </c>
      <c r="AC97" s="43"/>
      <c r="AD97" s="5">
        <v>0</v>
      </c>
      <c r="AE97" s="62"/>
      <c r="AF97" s="5">
        <v>0</v>
      </c>
      <c r="AG97" s="128"/>
      <c r="AH97" s="5">
        <v>0</v>
      </c>
      <c r="AI97" s="128"/>
      <c r="AJ97" s="5">
        <v>0</v>
      </c>
    </row>
    <row r="98" spans="12:36" x14ac:dyDescent="0.25">
      <c r="L98" s="236" t="s">
        <v>53</v>
      </c>
      <c r="M98" s="236"/>
      <c r="N98" s="201">
        <v>164525179547.28802</v>
      </c>
      <c r="O98" s="201">
        <v>136751925894.55931</v>
      </c>
      <c r="P98" s="7">
        <v>144673148084.93469</v>
      </c>
      <c r="Q98" s="43"/>
      <c r="R98" s="7">
        <v>115925913157.11348</v>
      </c>
      <c r="S98" s="43"/>
      <c r="T98" s="7">
        <v>96514106994.716049</v>
      </c>
      <c r="U98" s="43"/>
      <c r="V98" s="7">
        <v>92771221097.887772</v>
      </c>
      <c r="W98" s="43"/>
      <c r="X98" s="7">
        <v>114657464633.07593</v>
      </c>
      <c r="Y98" s="43"/>
      <c r="Z98" s="7">
        <v>101279180862.58922</v>
      </c>
      <c r="AA98" s="43"/>
      <c r="AB98" s="7">
        <v>108263065589.2471</v>
      </c>
      <c r="AC98" s="43"/>
      <c r="AD98" s="7">
        <v>93460927917.412491</v>
      </c>
      <c r="AE98" s="43"/>
      <c r="AF98" s="7">
        <v>60791695380.657661</v>
      </c>
      <c r="AG98" s="8"/>
      <c r="AH98" s="7">
        <v>52730006024.127464</v>
      </c>
      <c r="AI98" s="8"/>
      <c r="AJ98" s="7">
        <v>58372086358.55513</v>
      </c>
    </row>
    <row r="99" spans="12:36" x14ac:dyDescent="0.25">
      <c r="Q99" s="43"/>
      <c r="S99" s="43"/>
      <c r="U99" s="43"/>
      <c r="W99" s="43"/>
      <c r="Y99" s="43"/>
      <c r="AA99" s="43"/>
      <c r="AC99" s="43"/>
      <c r="AE99" s="43"/>
      <c r="AG99" s="117"/>
      <c r="AH99" s="1"/>
      <c r="AI99" s="117"/>
      <c r="AJ99" s="1"/>
    </row>
    <row r="100" spans="12:36" ht="15" customHeight="1" x14ac:dyDescent="0.25">
      <c r="L100" s="237" t="s">
        <v>54</v>
      </c>
      <c r="M100" s="237"/>
      <c r="N100" s="206">
        <v>766394456268.52466</v>
      </c>
      <c r="O100" s="206">
        <v>689490938727.99597</v>
      </c>
      <c r="P100" s="13">
        <v>660446304613.12195</v>
      </c>
      <c r="Q100" s="43"/>
      <c r="R100" s="13">
        <v>628094472451.3595</v>
      </c>
      <c r="S100" s="43"/>
      <c r="T100" s="13">
        <v>563519198803.04248</v>
      </c>
      <c r="U100" s="43"/>
      <c r="V100" s="13">
        <v>538140504885.62335</v>
      </c>
      <c r="W100" s="43"/>
      <c r="X100" s="13">
        <v>525742674082.46875</v>
      </c>
      <c r="Y100" s="43"/>
      <c r="Z100" s="13">
        <v>514970127486.46478</v>
      </c>
      <c r="AA100" s="43"/>
      <c r="AB100" s="13">
        <v>487510303935.27649</v>
      </c>
      <c r="AC100" s="43"/>
      <c r="AD100" s="13">
        <v>461386399655.8504</v>
      </c>
      <c r="AE100" s="43"/>
      <c r="AF100" s="13">
        <v>427308722916.44763</v>
      </c>
      <c r="AG100" s="8"/>
      <c r="AH100" s="13">
        <v>400707728392.09088</v>
      </c>
      <c r="AI100" s="8"/>
      <c r="AJ100" s="13">
        <v>334360650225.02716</v>
      </c>
    </row>
    <row r="101" spans="12:36" x14ac:dyDescent="0.25">
      <c r="L101" s="235"/>
      <c r="M101" s="235"/>
      <c r="N101" s="119"/>
      <c r="O101" s="119"/>
      <c r="P101" s="5"/>
      <c r="Q101" s="43"/>
      <c r="R101" s="5"/>
      <c r="S101" s="43"/>
      <c r="T101" s="5"/>
      <c r="U101" s="43"/>
      <c r="V101" s="5"/>
      <c r="W101" s="43"/>
      <c r="X101" s="5"/>
      <c r="Y101" s="43"/>
      <c r="Z101" s="5"/>
      <c r="AA101" s="43"/>
      <c r="AB101" s="5"/>
      <c r="AC101" s="43"/>
      <c r="AD101" s="5"/>
      <c r="AE101" s="43"/>
      <c r="AF101" s="5"/>
      <c r="AG101" s="116"/>
      <c r="AH101" s="5"/>
      <c r="AI101" s="116"/>
      <c r="AJ101" s="5"/>
    </row>
    <row r="102" spans="12:36" ht="15.75" thickBot="1" x14ac:dyDescent="0.3">
      <c r="L102" s="237" t="s">
        <v>55</v>
      </c>
      <c r="M102" s="235"/>
      <c r="N102" s="203">
        <v>886737029320.02185</v>
      </c>
      <c r="O102" s="203">
        <v>813454228477.88513</v>
      </c>
      <c r="P102" s="9">
        <v>778548205134.55664</v>
      </c>
      <c r="Q102" s="43"/>
      <c r="R102" s="9">
        <v>746494228717.18286</v>
      </c>
      <c r="S102" s="43"/>
      <c r="T102" s="9">
        <v>681046522317.0498</v>
      </c>
      <c r="U102" s="43"/>
      <c r="V102" s="9">
        <v>662313799704.96899</v>
      </c>
      <c r="W102" s="43"/>
      <c r="X102" s="9">
        <v>654633247976.01282</v>
      </c>
      <c r="Y102" s="43"/>
      <c r="Z102" s="9">
        <v>641343281574.86377</v>
      </c>
      <c r="AA102" s="43"/>
      <c r="AB102" s="9">
        <v>615309081360.4751</v>
      </c>
      <c r="AC102" s="43"/>
      <c r="AD102" s="9">
        <v>588502803012.51074</v>
      </c>
      <c r="AE102" s="43"/>
      <c r="AF102" s="9">
        <v>492053685099.68823</v>
      </c>
      <c r="AG102" s="8"/>
      <c r="AH102" s="9">
        <v>479555701500.54987</v>
      </c>
      <c r="AI102" s="8"/>
      <c r="AJ102" s="9">
        <v>416204599275.46106</v>
      </c>
    </row>
    <row r="103" spans="12:36" ht="15.75" thickTop="1" x14ac:dyDescent="0.25">
      <c r="P103" s="103"/>
      <c r="R103" s="103"/>
      <c r="T103" s="103"/>
      <c r="V103" s="103"/>
      <c r="X103" s="103"/>
      <c r="Z103" s="103"/>
      <c r="AB103" s="103"/>
      <c r="AD103" s="103"/>
      <c r="AF103" s="103"/>
      <c r="AH103" s="103"/>
      <c r="AJ103" s="103"/>
    </row>
  </sheetData>
  <mergeCells count="21">
    <mergeCell ref="L7:M7"/>
    <mergeCell ref="L28:M28"/>
    <mergeCell ref="L32:M32"/>
    <mergeCell ref="L50:M50"/>
    <mergeCell ref="L52:M52"/>
    <mergeCell ref="L54:M54"/>
    <mergeCell ref="L61:M61"/>
    <mergeCell ref="L65:M65"/>
    <mergeCell ref="L66:M66"/>
    <mergeCell ref="L76:M76"/>
    <mergeCell ref="L77:M77"/>
    <mergeCell ref="L96:M96"/>
    <mergeCell ref="L100:M100"/>
    <mergeCell ref="L101:M101"/>
    <mergeCell ref="L102:M102"/>
    <mergeCell ref="L78:M78"/>
    <mergeCell ref="L79:M79"/>
    <mergeCell ref="L80:M80"/>
    <mergeCell ref="L81:M81"/>
    <mergeCell ref="L94:M94"/>
    <mergeCell ref="L98:M98"/>
  </mergeCells>
  <pageMargins left="0.7" right="0.7" top="0.75" bottom="0.75" header="0.3" footer="0.3"/>
  <pageSetup orientation="portrait" horizontalDpi="300" r:id="rId1"/>
  <customProperties>
    <customPr name="EpmWorksheetKeyString_GUID" r:id="rId2"/>
  </customProperties>
  <ignoredErrors>
    <ignoredError sqref="F7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V48"/>
  <sheetViews>
    <sheetView showGridLines="0" zoomScale="60" zoomScaleNormal="60" workbookViewId="0">
      <pane xSplit="3" ySplit="5" topLeftCell="AA22" activePane="bottomRight" state="frozen"/>
      <selection activeCell="C211" sqref="C211"/>
      <selection pane="topRight" activeCell="C211" sqref="C211"/>
      <selection pane="bottomLeft" activeCell="C211" sqref="C211"/>
      <selection pane="bottomRight" activeCell="AH40" sqref="AH40"/>
    </sheetView>
  </sheetViews>
  <sheetFormatPr defaultColWidth="9.140625" defaultRowHeight="15" x14ac:dyDescent="0.25"/>
  <cols>
    <col min="1" max="1" width="1.85546875" style="60" customWidth="1"/>
    <col min="2" max="2" width="3.85546875" style="60" customWidth="1"/>
    <col min="3" max="3" width="46.28515625" style="60" customWidth="1"/>
    <col min="4" max="4" width="0.85546875" style="60" customWidth="1"/>
    <col min="5" max="5" width="27" style="60" hidden="1" customWidth="1"/>
    <col min="6" max="6" width="20.7109375" style="60" customWidth="1"/>
    <col min="7" max="7" width="1.42578125" style="60" hidden="1" customWidth="1"/>
    <col min="8" max="8" width="20.7109375" style="60" customWidth="1"/>
    <col min="9" max="9" width="21.7109375" style="60" customWidth="1"/>
    <col min="10" max="10" width="0.85546875" style="60" hidden="1" customWidth="1"/>
    <col min="11" max="13" width="21.7109375" style="60" customWidth="1"/>
    <col min="14" max="14" width="20.7109375" style="69" customWidth="1"/>
    <col min="15" max="23" width="21.7109375" style="60" customWidth="1"/>
    <col min="24" max="35" width="20.7109375" style="60" customWidth="1"/>
    <col min="36" max="36" width="9.42578125" style="60" customWidth="1"/>
    <col min="37" max="37" width="0.85546875" style="60" hidden="1" customWidth="1"/>
    <col min="38" max="42" width="20.7109375" style="60" customWidth="1"/>
    <col min="43" max="43" width="9.42578125" style="60" customWidth="1"/>
    <col min="44" max="47" width="20.7109375" style="60" customWidth="1"/>
    <col min="48" max="48" width="24.140625" customWidth="1"/>
    <col min="49" max="16384" width="9.140625" style="60"/>
  </cols>
  <sheetData>
    <row r="1" spans="1:48" x14ac:dyDescent="0.25">
      <c r="B1" s="42" t="s">
        <v>254</v>
      </c>
      <c r="I1" s="48">
        <v>14</v>
      </c>
      <c r="L1" s="48">
        <v>10</v>
      </c>
      <c r="M1" s="48">
        <v>8</v>
      </c>
    </row>
    <row r="2" spans="1:48" x14ac:dyDescent="0.25">
      <c r="B2" s="42" t="s">
        <v>308</v>
      </c>
      <c r="N2" s="73"/>
    </row>
    <row r="3" spans="1:48" x14ac:dyDescent="0.25">
      <c r="B3" s="70" t="s">
        <v>0</v>
      </c>
      <c r="C3" s="100"/>
      <c r="D3" s="100"/>
      <c r="E3" s="100"/>
      <c r="G3" s="100"/>
      <c r="I3" s="100"/>
      <c r="J3" s="100"/>
      <c r="K3" s="100"/>
      <c r="L3" s="100"/>
      <c r="M3" s="100"/>
      <c r="N3" s="106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</row>
    <row r="4" spans="1:48" x14ac:dyDescent="0.25">
      <c r="B4" s="100"/>
      <c r="C4" s="100"/>
      <c r="D4" s="100"/>
      <c r="E4" s="100"/>
      <c r="G4" s="100"/>
      <c r="I4" s="100"/>
      <c r="J4" s="100"/>
      <c r="K4" s="37"/>
      <c r="L4" s="100"/>
      <c r="M4" s="100"/>
      <c r="N4" s="106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100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</row>
    <row r="5" spans="1:48" ht="42.75" x14ac:dyDescent="0.25">
      <c r="B5" s="55"/>
      <c r="C5" s="55"/>
      <c r="D5" s="55"/>
      <c r="E5" s="55"/>
      <c r="F5" s="4" t="s">
        <v>394</v>
      </c>
      <c r="G5" s="55"/>
      <c r="H5" s="4" t="s">
        <v>395</v>
      </c>
      <c r="I5" s="104" t="s">
        <v>301</v>
      </c>
      <c r="J5" s="55"/>
      <c r="K5" s="104" t="s">
        <v>297</v>
      </c>
      <c r="L5" s="104" t="s">
        <v>302</v>
      </c>
      <c r="M5" s="104" t="s">
        <v>303</v>
      </c>
      <c r="N5" s="4" t="s">
        <v>396</v>
      </c>
      <c r="O5" s="104" t="s">
        <v>300</v>
      </c>
      <c r="P5" s="104" t="s">
        <v>299</v>
      </c>
      <c r="Q5" s="104" t="s">
        <v>316</v>
      </c>
      <c r="R5" s="104" t="s">
        <v>355</v>
      </c>
      <c r="S5" s="4" t="s">
        <v>397</v>
      </c>
      <c r="T5" s="4" t="s">
        <v>362</v>
      </c>
      <c r="U5" s="4" t="s">
        <v>379</v>
      </c>
      <c r="V5" s="4" t="s">
        <v>407</v>
      </c>
      <c r="W5" s="4" t="s">
        <v>408</v>
      </c>
      <c r="X5" s="104" t="s">
        <v>412</v>
      </c>
      <c r="Y5" s="4" t="s">
        <v>486</v>
      </c>
      <c r="Z5" s="4" t="s">
        <v>514</v>
      </c>
      <c r="AA5" s="4" t="s">
        <v>525</v>
      </c>
      <c r="AB5" s="4" t="s">
        <v>542</v>
      </c>
      <c r="AC5" s="4" t="s">
        <v>541</v>
      </c>
      <c r="AD5" s="4" t="s">
        <v>553</v>
      </c>
      <c r="AE5" s="4" t="s">
        <v>570</v>
      </c>
      <c r="AF5" s="4" t="s">
        <v>577</v>
      </c>
      <c r="AG5" s="4" t="s">
        <v>585</v>
      </c>
      <c r="AH5" s="4" t="s">
        <v>582</v>
      </c>
      <c r="AI5" s="4" t="s">
        <v>591</v>
      </c>
      <c r="AJ5" s="104"/>
      <c r="AK5" s="105"/>
      <c r="AL5" s="104" t="s">
        <v>288</v>
      </c>
      <c r="AM5" s="104" t="s">
        <v>287</v>
      </c>
      <c r="AN5" s="104" t="s">
        <v>382</v>
      </c>
      <c r="AO5" s="104" t="s">
        <v>515</v>
      </c>
      <c r="AP5" s="104" t="s">
        <v>571</v>
      </c>
      <c r="AQ5" s="55"/>
      <c r="AR5" s="104" t="s">
        <v>315</v>
      </c>
      <c r="AS5" s="104" t="s">
        <v>314</v>
      </c>
      <c r="AT5" s="104" t="s">
        <v>409</v>
      </c>
      <c r="AU5" s="104" t="s">
        <v>526</v>
      </c>
      <c r="AV5" s="104" t="s">
        <v>576</v>
      </c>
    </row>
    <row r="6" spans="1:48" x14ac:dyDescent="0.2">
      <c r="B6" s="72"/>
      <c r="C6" s="72"/>
      <c r="D6" s="72"/>
      <c r="E6" s="72"/>
      <c r="F6" s="118" t="s">
        <v>252</v>
      </c>
      <c r="G6" s="72"/>
      <c r="H6" s="118" t="s">
        <v>252</v>
      </c>
      <c r="I6" s="118" t="s">
        <v>251</v>
      </c>
      <c r="J6" s="72"/>
      <c r="K6" s="118" t="s">
        <v>251</v>
      </c>
      <c r="L6" s="118" t="s">
        <v>251</v>
      </c>
      <c r="M6" s="118" t="s">
        <v>251</v>
      </c>
      <c r="N6" s="118" t="s">
        <v>252</v>
      </c>
      <c r="O6" s="118" t="s">
        <v>251</v>
      </c>
      <c r="P6" s="118" t="s">
        <v>251</v>
      </c>
      <c r="Q6" s="118" t="s">
        <v>251</v>
      </c>
      <c r="R6" s="118" t="s">
        <v>251</v>
      </c>
      <c r="S6" s="118" t="s">
        <v>251</v>
      </c>
      <c r="T6" s="118" t="s">
        <v>251</v>
      </c>
      <c r="U6" s="118" t="s">
        <v>251</v>
      </c>
      <c r="V6" s="118" t="s">
        <v>251</v>
      </c>
      <c r="W6" s="118" t="s">
        <v>251</v>
      </c>
      <c r="X6" s="118" t="s">
        <v>252</v>
      </c>
      <c r="Y6" s="118" t="s">
        <v>251</v>
      </c>
      <c r="Z6" s="118" t="s">
        <v>251</v>
      </c>
      <c r="AA6" s="118" t="s">
        <v>251</v>
      </c>
      <c r="AB6" s="118" t="s">
        <v>251</v>
      </c>
      <c r="AC6" s="118" t="s">
        <v>252</v>
      </c>
      <c r="AD6" s="118" t="s">
        <v>251</v>
      </c>
      <c r="AE6" s="118" t="s">
        <v>251</v>
      </c>
      <c r="AF6" s="118" t="s">
        <v>251</v>
      </c>
      <c r="AG6" s="118" t="s">
        <v>251</v>
      </c>
      <c r="AH6" s="118" t="s">
        <v>252</v>
      </c>
      <c r="AI6" s="118" t="s">
        <v>251</v>
      </c>
      <c r="AJ6" s="123"/>
      <c r="AK6" s="72"/>
      <c r="AL6" s="118" t="s">
        <v>251</v>
      </c>
      <c r="AM6" s="118" t="s">
        <v>251</v>
      </c>
      <c r="AN6" s="118" t="s">
        <v>251</v>
      </c>
      <c r="AO6" s="118" t="s">
        <v>251</v>
      </c>
      <c r="AP6" s="118" t="s">
        <v>251</v>
      </c>
      <c r="AQ6" s="72"/>
      <c r="AR6" s="118" t="s">
        <v>251</v>
      </c>
      <c r="AS6" s="118" t="s">
        <v>251</v>
      </c>
      <c r="AT6" s="118" t="s">
        <v>251</v>
      </c>
      <c r="AU6" s="118" t="s">
        <v>251</v>
      </c>
      <c r="AV6" s="118" t="s">
        <v>251</v>
      </c>
    </row>
    <row r="7" spans="1:48" x14ac:dyDescent="0.25">
      <c r="B7" s="72"/>
      <c r="C7" s="72"/>
      <c r="D7" s="72"/>
      <c r="E7" s="72"/>
      <c r="G7" s="72"/>
      <c r="I7" s="72"/>
      <c r="J7" s="72"/>
      <c r="K7" s="72"/>
      <c r="L7" s="72"/>
      <c r="M7" s="72"/>
      <c r="N7" s="75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</row>
    <row r="8" spans="1:48" x14ac:dyDescent="0.25">
      <c r="B8" s="237" t="s">
        <v>56</v>
      </c>
      <c r="C8" s="237"/>
      <c r="D8" s="45"/>
      <c r="E8" s="45"/>
      <c r="G8" s="45"/>
      <c r="I8" s="45"/>
      <c r="J8" s="45"/>
      <c r="K8" s="45"/>
      <c r="L8" s="45"/>
      <c r="M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</row>
    <row r="9" spans="1:48" x14ac:dyDescent="0.25">
      <c r="A9" s="55"/>
      <c r="B9" s="234" t="s">
        <v>380</v>
      </c>
      <c r="C9" s="234"/>
      <c r="D9" s="55"/>
      <c r="E9" s="55"/>
      <c r="F9" s="107">
        <v>43143560016.070038</v>
      </c>
      <c r="G9" s="55"/>
      <c r="H9" s="107">
        <v>48411726583.908684</v>
      </c>
      <c r="I9" s="73">
        <v>13811491717.637899</v>
      </c>
      <c r="J9" s="55"/>
      <c r="K9" s="73">
        <v>13591378450.351702</v>
      </c>
      <c r="L9" s="73">
        <v>9884810669.3310852</v>
      </c>
      <c r="M9" s="73">
        <v>10899574876.284821</v>
      </c>
      <c r="N9" s="73">
        <v>48187255713.605499</v>
      </c>
      <c r="O9" s="73">
        <v>15516834913.40082</v>
      </c>
      <c r="P9" s="73">
        <v>16989677251.759989</v>
      </c>
      <c r="Q9" s="73">
        <v>11895766581.051662</v>
      </c>
      <c r="R9" s="73">
        <v>14945729896.11866</v>
      </c>
      <c r="S9" s="73">
        <v>59349008642.331131</v>
      </c>
      <c r="T9" s="73">
        <v>22174153333.145405</v>
      </c>
      <c r="U9" s="73">
        <v>19559657393.98296</v>
      </c>
      <c r="V9" s="73">
        <v>13169940775.226738</v>
      </c>
      <c r="W9" s="73">
        <v>23318695688.331573</v>
      </c>
      <c r="X9" s="73">
        <v>78223447190.686676</v>
      </c>
      <c r="Y9" s="73">
        <v>21250114757.783272</v>
      </c>
      <c r="Z9" s="73">
        <v>25956478349.585831</v>
      </c>
      <c r="AA9" s="73">
        <v>15992830636.401077</v>
      </c>
      <c r="AB9" s="73">
        <v>18120287037.139763</v>
      </c>
      <c r="AC9" s="73">
        <v>81318710780.909943</v>
      </c>
      <c r="AD9" s="73">
        <v>22811465351.405399</v>
      </c>
      <c r="AE9" s="73">
        <v>26734690754.123928</v>
      </c>
      <c r="AF9" s="73">
        <v>18472302115.08683</v>
      </c>
      <c r="AG9" s="73">
        <v>29044773031.47393</v>
      </c>
      <c r="AH9" s="73">
        <v>97063231252.090088</v>
      </c>
      <c r="AI9" s="73">
        <v>38997913179.677017</v>
      </c>
      <c r="AJ9" s="73"/>
      <c r="AL9" s="73">
        <v>27401870167.989594</v>
      </c>
      <c r="AM9" s="73">
        <v>32506512165.180809</v>
      </c>
      <c r="AN9" s="73">
        <v>41733810727.128365</v>
      </c>
      <c r="AO9" s="73">
        <v>47205593107.369102</v>
      </c>
      <c r="AP9" s="73">
        <v>49546156105.529327</v>
      </c>
      <c r="AQ9" s="55"/>
      <c r="AR9" s="73">
        <v>37286680837.320679</v>
      </c>
      <c r="AS9" s="73">
        <v>44403278746.212471</v>
      </c>
      <c r="AT9" s="73">
        <v>54903751502.355103</v>
      </c>
      <c r="AU9" s="73">
        <v>63199423743.77018</v>
      </c>
      <c r="AV9" s="73">
        <v>68018458220.616158</v>
      </c>
    </row>
    <row r="10" spans="1:48" x14ac:dyDescent="0.25">
      <c r="B10" s="76" t="s">
        <v>57</v>
      </c>
      <c r="C10" s="55"/>
      <c r="D10" s="55"/>
      <c r="E10" s="55"/>
      <c r="F10" s="107">
        <v>175826050.34999999</v>
      </c>
      <c r="G10" s="55"/>
      <c r="H10" s="107">
        <v>77515292.189999998</v>
      </c>
      <c r="I10" s="73">
        <v>25716394.43</v>
      </c>
      <c r="J10" s="55"/>
      <c r="K10" s="73">
        <v>25390793.640000001</v>
      </c>
      <c r="L10" s="73">
        <v>18729192.710000001</v>
      </c>
      <c r="M10" s="73">
        <v>9867349.2299999893</v>
      </c>
      <c r="N10" s="73">
        <v>79703730.00999999</v>
      </c>
      <c r="O10" s="73">
        <v>24598907.460000038</v>
      </c>
      <c r="P10" s="73">
        <v>1550375775.9900002</v>
      </c>
      <c r="Q10" s="73">
        <v>652890753.5199995</v>
      </c>
      <c r="R10" s="73">
        <v>466204854.25999975</v>
      </c>
      <c r="S10" s="73">
        <v>2694070291.2299995</v>
      </c>
      <c r="T10" s="73">
        <v>253611087.15000001</v>
      </c>
      <c r="U10" s="73">
        <v>15920652.619999975</v>
      </c>
      <c r="V10" s="73">
        <v>702208666.17999971</v>
      </c>
      <c r="W10" s="73">
        <v>132857422.01999605</v>
      </c>
      <c r="X10" s="73">
        <v>1104597827.9699957</v>
      </c>
      <c r="Y10" s="73">
        <v>109462909.59299999</v>
      </c>
      <c r="Z10" s="73">
        <v>193458945.96310002</v>
      </c>
      <c r="AA10" s="73">
        <v>487013322.31280029</v>
      </c>
      <c r="AB10" s="73">
        <v>69498578.879999846</v>
      </c>
      <c r="AC10" s="73">
        <v>628752123.18040013</v>
      </c>
      <c r="AD10" s="73">
        <v>177463785.90000001</v>
      </c>
      <c r="AE10" s="73">
        <v>280030161.442976</v>
      </c>
      <c r="AF10" s="73">
        <v>73410901.168822944</v>
      </c>
      <c r="AG10" s="73">
        <v>106459387.85820115</v>
      </c>
      <c r="AH10" s="73">
        <v>450095428.57000011</v>
      </c>
      <c r="AI10" s="73">
        <v>191167050.1552</v>
      </c>
      <c r="AJ10" s="73"/>
      <c r="AL10" s="73">
        <v>51107188.07</v>
      </c>
      <c r="AM10" s="73">
        <v>1574974683.4500003</v>
      </c>
      <c r="AN10" s="73">
        <v>269531739.76999998</v>
      </c>
      <c r="AO10" s="73">
        <v>301921855.55610001</v>
      </c>
      <c r="AP10" s="73">
        <v>457493947.34297603</v>
      </c>
      <c r="AQ10" s="55"/>
      <c r="AR10" s="73">
        <v>69836380.780000001</v>
      </c>
      <c r="AS10" s="73">
        <v>2227865436.9699998</v>
      </c>
      <c r="AT10" s="73">
        <v>971740405.94999969</v>
      </c>
      <c r="AU10" s="73">
        <v>788935177.8689003</v>
      </c>
      <c r="AV10" s="73">
        <v>529904848.51179892</v>
      </c>
    </row>
    <row r="11" spans="1:48" x14ac:dyDescent="0.25">
      <c r="B11" s="76" t="s">
        <v>381</v>
      </c>
      <c r="C11" s="55"/>
      <c r="D11" s="55"/>
      <c r="E11" s="55"/>
      <c r="F11" s="107">
        <v>0</v>
      </c>
      <c r="G11" s="55"/>
      <c r="H11" s="107">
        <v>0</v>
      </c>
      <c r="I11" s="107">
        <v>0</v>
      </c>
      <c r="J11" s="55"/>
      <c r="K11" s="107">
        <v>0</v>
      </c>
      <c r="L11" s="107">
        <v>0</v>
      </c>
      <c r="M11" s="107">
        <v>0</v>
      </c>
      <c r="N11" s="107">
        <v>0</v>
      </c>
      <c r="O11" s="107">
        <v>0</v>
      </c>
      <c r="P11" s="107">
        <v>0</v>
      </c>
      <c r="Q11" s="107">
        <v>0</v>
      </c>
      <c r="R11" s="107">
        <v>0</v>
      </c>
      <c r="S11" s="107">
        <v>0</v>
      </c>
      <c r="T11" s="107">
        <v>0</v>
      </c>
      <c r="U11" s="73">
        <v>962474399.35647571</v>
      </c>
      <c r="V11" s="73">
        <v>135319689.58712423</v>
      </c>
      <c r="W11" s="73">
        <v>37197623.141991138</v>
      </c>
      <c r="X11" s="73">
        <v>1133991712.0855911</v>
      </c>
      <c r="Y11" s="73">
        <v>855069261.35000002</v>
      </c>
      <c r="Z11" s="73">
        <v>2349400.189999938</v>
      </c>
      <c r="AA11" s="73">
        <v>565652342</v>
      </c>
      <c r="AB11" s="73">
        <v>28250773.460000038</v>
      </c>
      <c r="AC11" s="73">
        <v>1451321777</v>
      </c>
      <c r="AD11" s="73">
        <v>7384767.7000000002</v>
      </c>
      <c r="AE11" s="73">
        <v>76557</v>
      </c>
      <c r="AF11" s="73">
        <v>0.40999999921768904</v>
      </c>
      <c r="AG11" s="73">
        <v>0</v>
      </c>
      <c r="AH11" s="73">
        <v>7461325.1100000003</v>
      </c>
      <c r="AI11" s="73">
        <v>0</v>
      </c>
      <c r="AJ11" s="73"/>
      <c r="AL11" s="73">
        <v>0</v>
      </c>
      <c r="AM11" s="73">
        <v>0</v>
      </c>
      <c r="AN11" s="73">
        <v>962474399.35647571</v>
      </c>
      <c r="AO11" s="73">
        <v>857418661.53999996</v>
      </c>
      <c r="AP11" s="73">
        <v>7461324.7000000002</v>
      </c>
      <c r="AQ11" s="55"/>
      <c r="AR11" s="73">
        <v>0</v>
      </c>
      <c r="AS11" s="73">
        <v>0</v>
      </c>
      <c r="AT11" s="73">
        <v>1096794088.9435999</v>
      </c>
      <c r="AU11" s="73">
        <v>1423071003.54</v>
      </c>
      <c r="AV11" s="73">
        <v>7461325.1099999994</v>
      </c>
    </row>
    <row r="12" spans="1:48" x14ac:dyDescent="0.25">
      <c r="B12" s="76" t="s">
        <v>574</v>
      </c>
      <c r="C12" s="55"/>
      <c r="D12" s="55"/>
      <c r="E12" s="55"/>
      <c r="F12" s="107">
        <v>1470922892.0899987</v>
      </c>
      <c r="G12" s="55"/>
      <c r="H12" s="107">
        <v>2178968934.508029</v>
      </c>
      <c r="I12" s="73">
        <v>645450862.03299999</v>
      </c>
      <c r="J12" s="55"/>
      <c r="K12" s="73">
        <v>476106935.29400015</v>
      </c>
      <c r="L12" s="73">
        <v>507794733.03299809</v>
      </c>
      <c r="M12" s="73">
        <v>1724754568.610003</v>
      </c>
      <c r="N12" s="73">
        <v>3354107098.9700012</v>
      </c>
      <c r="O12" s="73">
        <v>464058348.18300033</v>
      </c>
      <c r="P12" s="73">
        <v>342548667.46281564</v>
      </c>
      <c r="Q12" s="73">
        <v>427976518.21919835</v>
      </c>
      <c r="R12" s="73">
        <v>678860623.28469753</v>
      </c>
      <c r="S12" s="73">
        <v>2013262368.7197118</v>
      </c>
      <c r="T12" s="73">
        <v>599512423.88666642</v>
      </c>
      <c r="U12" s="73">
        <v>717917713.90932298</v>
      </c>
      <c r="V12" s="73">
        <v>687390775.99104047</v>
      </c>
      <c r="W12" s="73">
        <v>904884121.51099133</v>
      </c>
      <c r="X12" s="73">
        <v>2909705035.2980208</v>
      </c>
      <c r="Y12" s="73">
        <v>1520519313.9543002</v>
      </c>
      <c r="Z12" s="73">
        <v>1162800598.1053212</v>
      </c>
      <c r="AA12" s="73">
        <v>1603626098.2071781</v>
      </c>
      <c r="AB12" s="73">
        <v>983988399.96301222</v>
      </c>
      <c r="AC12" s="73">
        <v>5271934410.2298117</v>
      </c>
      <c r="AD12" s="73">
        <v>1153523606.6863992</v>
      </c>
      <c r="AE12" s="73">
        <v>1170377467.7583072</v>
      </c>
      <c r="AF12" s="73">
        <v>1242743666.3039055</v>
      </c>
      <c r="AG12" s="73">
        <v>1004810926.2600188</v>
      </c>
      <c r="AH12" s="73">
        <v>4572455667.0086308</v>
      </c>
      <c r="AI12" s="73">
        <v>1252782506.7546949</v>
      </c>
      <c r="AJ12" s="73"/>
      <c r="AL12" s="73">
        <v>1120557797.3270001</v>
      </c>
      <c r="AM12" s="73">
        <v>806607015.64581597</v>
      </c>
      <c r="AN12" s="73">
        <v>1318430137.795989</v>
      </c>
      <c r="AO12" s="73">
        <v>2684319912.0596213</v>
      </c>
      <c r="AP12" s="73">
        <v>2323901074.4447064</v>
      </c>
      <c r="AQ12" s="55"/>
      <c r="AR12" s="73">
        <v>1629352530.3599982</v>
      </c>
      <c r="AS12" s="73">
        <v>1234583533.8650143</v>
      </c>
      <c r="AT12" s="73">
        <v>2004820913.7870295</v>
      </c>
      <c r="AU12" s="73">
        <v>4287946010.2667994</v>
      </c>
      <c r="AV12" s="73">
        <v>3566644740.7486119</v>
      </c>
    </row>
    <row r="13" spans="1:48" x14ac:dyDescent="0.25">
      <c r="B13" s="76" t="s">
        <v>58</v>
      </c>
      <c r="C13" s="55"/>
      <c r="D13" s="55"/>
      <c r="E13" s="55"/>
      <c r="F13" s="107">
        <v>3110972366.0929999</v>
      </c>
      <c r="G13" s="55"/>
      <c r="H13" s="107">
        <v>2634383177.836237</v>
      </c>
      <c r="I13" s="73">
        <v>1013903678.9</v>
      </c>
      <c r="J13" s="55"/>
      <c r="K13" s="73">
        <v>673106342.35999942</v>
      </c>
      <c r="L13" s="73">
        <v>380298212.22020054</v>
      </c>
      <c r="M13" s="73">
        <v>802711700.23279977</v>
      </c>
      <c r="N13" s="73">
        <v>2870019933.7129998</v>
      </c>
      <c r="O13" s="73">
        <v>801051684.96971178</v>
      </c>
      <c r="P13" s="73">
        <v>2429183904.9386864</v>
      </c>
      <c r="Q13" s="73">
        <v>484930180.7670393</v>
      </c>
      <c r="R13" s="73">
        <v>1523725823.153018</v>
      </c>
      <c r="S13" s="73">
        <v>5139073382.2584553</v>
      </c>
      <c r="T13" s="73">
        <v>919963196.875</v>
      </c>
      <c r="U13" s="73">
        <v>1149621749.3253963</v>
      </c>
      <c r="V13" s="73">
        <v>989241774.5956037</v>
      </c>
      <c r="W13" s="73">
        <v>1522474352.1103883</v>
      </c>
      <c r="X13" s="73">
        <v>4581301072.9063883</v>
      </c>
      <c r="Y13" s="73">
        <v>829541575.45999992</v>
      </c>
      <c r="Z13" s="73">
        <v>1245208608.0011654</v>
      </c>
      <c r="AA13" s="73">
        <v>640365763.06147671</v>
      </c>
      <c r="AB13" s="73">
        <v>4594227438.9156113</v>
      </c>
      <c r="AC13" s="73">
        <v>7309343385.4382534</v>
      </c>
      <c r="AD13" s="73">
        <v>753910566.65346193</v>
      </c>
      <c r="AE13" s="73">
        <v>1366003969.0599885</v>
      </c>
      <c r="AF13" s="73">
        <v>1144933744.3693414</v>
      </c>
      <c r="AG13" s="73">
        <v>4163649576.7816119</v>
      </c>
      <c r="AH13" s="73">
        <v>6382806118.1734018</v>
      </c>
      <c r="AI13" s="73">
        <v>739674069.14251614</v>
      </c>
      <c r="AJ13" s="73"/>
      <c r="AL13" s="73">
        <v>1687010021.2599995</v>
      </c>
      <c r="AM13" s="73">
        <v>3230235589.9083982</v>
      </c>
      <c r="AN13" s="73">
        <v>2069584946.2003963</v>
      </c>
      <c r="AO13" s="73">
        <v>2074750183.4611654</v>
      </c>
      <c r="AP13" s="73">
        <v>2119914535.7134504</v>
      </c>
      <c r="AQ13" s="55"/>
      <c r="AR13" s="73">
        <v>2067308233.4802001</v>
      </c>
      <c r="AS13" s="73">
        <v>3715165770.6754375</v>
      </c>
      <c r="AT13" s="73">
        <v>3058826720.796</v>
      </c>
      <c r="AU13" s="73">
        <v>2715115946.5226421</v>
      </c>
      <c r="AV13" s="73">
        <v>2219156541.3917899</v>
      </c>
    </row>
    <row r="14" spans="1:48" x14ac:dyDescent="0.25">
      <c r="B14" s="76" t="s">
        <v>309</v>
      </c>
      <c r="C14" s="55"/>
      <c r="D14" s="55"/>
      <c r="E14" s="55"/>
      <c r="F14" s="107">
        <v>0</v>
      </c>
      <c r="G14" s="55"/>
      <c r="H14" s="107">
        <v>0</v>
      </c>
      <c r="I14" s="107">
        <v>0</v>
      </c>
      <c r="J14" s="55"/>
      <c r="K14" s="107">
        <v>0</v>
      </c>
      <c r="L14" s="107">
        <v>0</v>
      </c>
      <c r="M14" s="107">
        <v>0</v>
      </c>
      <c r="N14" s="107">
        <v>0</v>
      </c>
      <c r="O14" s="107">
        <v>0</v>
      </c>
      <c r="P14" s="107">
        <v>0</v>
      </c>
      <c r="Q14" s="107">
        <v>0</v>
      </c>
      <c r="R14" s="107">
        <v>0</v>
      </c>
      <c r="S14" s="107">
        <v>0</v>
      </c>
      <c r="T14" s="73">
        <v>1058959807.6731999</v>
      </c>
      <c r="U14" s="73">
        <v>3399486.076800108</v>
      </c>
      <c r="V14" s="73">
        <v>394351606.75784993</v>
      </c>
      <c r="W14" s="73">
        <v>0</v>
      </c>
      <c r="X14" s="73">
        <v>1356216359.79</v>
      </c>
      <c r="Y14" s="73">
        <v>94014040.640000001</v>
      </c>
      <c r="Z14" s="73">
        <v>73085409.040000007</v>
      </c>
      <c r="AA14" s="73">
        <v>0</v>
      </c>
      <c r="AB14" s="73">
        <v>981235208.10500002</v>
      </c>
      <c r="AC14" s="73">
        <v>551266363.29499996</v>
      </c>
      <c r="AD14" s="73">
        <v>0</v>
      </c>
      <c r="AE14" s="73">
        <v>335705227.56</v>
      </c>
      <c r="AF14" s="73">
        <v>265338445.64000002</v>
      </c>
      <c r="AG14" s="73">
        <v>70618281.379999995</v>
      </c>
      <c r="AH14" s="73">
        <v>595386838.62</v>
      </c>
      <c r="AI14" s="73">
        <v>0</v>
      </c>
      <c r="AJ14" s="73"/>
      <c r="AL14" s="73">
        <v>0</v>
      </c>
      <c r="AM14" s="73">
        <v>0</v>
      </c>
      <c r="AN14" s="73">
        <v>1062359293.75</v>
      </c>
      <c r="AO14" s="73">
        <v>167099449.68000001</v>
      </c>
      <c r="AP14" s="73">
        <v>259430111.59999999</v>
      </c>
      <c r="AQ14" s="55"/>
      <c r="AR14" s="73">
        <v>0</v>
      </c>
      <c r="AS14" s="73">
        <v>0</v>
      </c>
      <c r="AT14" s="73">
        <v>1455710900.5078499</v>
      </c>
      <c r="AU14" s="73">
        <v>0</v>
      </c>
      <c r="AV14" s="73">
        <v>523768557.24000007</v>
      </c>
    </row>
    <row r="15" spans="1:48" x14ac:dyDescent="0.25">
      <c r="B15" s="237" t="s">
        <v>59</v>
      </c>
      <c r="C15" s="234"/>
      <c r="D15" s="55"/>
      <c r="E15" s="55"/>
      <c r="F15" s="108">
        <v>47902281324.603035</v>
      </c>
      <c r="G15" s="55"/>
      <c r="H15" s="108">
        <v>53303093988.442947</v>
      </c>
      <c r="I15" s="77">
        <v>15495562653.000898</v>
      </c>
      <c r="J15" s="55"/>
      <c r="K15" s="77">
        <v>14764982521.6457</v>
      </c>
      <c r="L15" s="77">
        <v>10791632807.294281</v>
      </c>
      <c r="M15" s="77">
        <v>13437908494.357622</v>
      </c>
      <c r="N15" s="77">
        <v>54491086476.2985</v>
      </c>
      <c r="O15" s="77">
        <v>16806543854.013533</v>
      </c>
      <c r="P15" s="77">
        <v>21311785600.151489</v>
      </c>
      <c r="Q15" s="77">
        <v>13461564033.557899</v>
      </c>
      <c r="R15" s="77">
        <v>17614521196.816376</v>
      </c>
      <c r="S15" s="77">
        <v>69195414684.539291</v>
      </c>
      <c r="T15" s="77">
        <v>25007199848.73027</v>
      </c>
      <c r="U15" s="77">
        <v>22408991395.270958</v>
      </c>
      <c r="V15" s="77">
        <v>16077453288.338358</v>
      </c>
      <c r="W15" s="77">
        <v>25916109207.114941</v>
      </c>
      <c r="X15" s="77">
        <v>89309259198.736664</v>
      </c>
      <c r="Y15" s="77">
        <v>24658721858.780567</v>
      </c>
      <c r="Z15" s="77">
        <v>28632381310.885414</v>
      </c>
      <c r="AA15" s="77">
        <v>19290488161.982533</v>
      </c>
      <c r="AB15" s="77">
        <v>24776487436.463387</v>
      </c>
      <c r="AC15" s="77">
        <v>96531328840.053406</v>
      </c>
      <c r="AD15" s="77">
        <v>24902748078.345261</v>
      </c>
      <c r="AE15" s="77">
        <f>SUM(AE9:AE14)</f>
        <v>29886884136.945202</v>
      </c>
      <c r="AF15" s="77">
        <f>SUM(AF9:AF14)-1*10^6</f>
        <v>21197728872.978901</v>
      </c>
      <c r="AG15" s="77">
        <v>34391311203.753761</v>
      </c>
      <c r="AH15" s="77">
        <f>SUM(AH9:AH14)-1*10^6</f>
        <v>109070436629.57213</v>
      </c>
      <c r="AI15" s="77">
        <f>SUM(AI9:AI14)</f>
        <v>41181536805.729424</v>
      </c>
      <c r="AJ15" s="78"/>
      <c r="AL15" s="77">
        <v>30260545174.646591</v>
      </c>
      <c r="AM15" s="77">
        <v>38119329454.185028</v>
      </c>
      <c r="AN15" s="77">
        <v>47416191244.001221</v>
      </c>
      <c r="AO15" s="77">
        <v>53291103169.665993</v>
      </c>
      <c r="AP15" s="77">
        <f>SUM(AP9:AP14)-1*10^6</f>
        <v>54713357099.33046</v>
      </c>
      <c r="AQ15" s="55"/>
      <c r="AR15" s="77">
        <v>41053177981.94088</v>
      </c>
      <c r="AS15" s="77">
        <v>51580893487.722923</v>
      </c>
      <c r="AT15" s="77">
        <v>63492644532.339584</v>
      </c>
      <c r="AU15" s="77">
        <v>72414491881.968521</v>
      </c>
      <c r="AV15" s="77">
        <f>SUM(AV9:AV14)</f>
        <v>74865394233.618362</v>
      </c>
    </row>
    <row r="16" spans="1:48" x14ac:dyDescent="0.25">
      <c r="F16" s="109"/>
      <c r="H16" s="109"/>
      <c r="N16" s="71"/>
      <c r="AB16" s="71"/>
      <c r="AC16" s="71"/>
      <c r="AD16" s="71"/>
      <c r="AE16" s="71"/>
      <c r="AF16" s="71"/>
      <c r="AG16" s="71"/>
      <c r="AH16" s="71"/>
      <c r="AI16" s="71"/>
      <c r="AV16" s="60"/>
    </row>
    <row r="17" spans="1:48" x14ac:dyDescent="0.25">
      <c r="B17" s="237" t="s">
        <v>60</v>
      </c>
      <c r="C17" s="234"/>
      <c r="D17" s="55"/>
      <c r="E17" s="55"/>
      <c r="F17" s="109"/>
      <c r="G17" s="55"/>
      <c r="H17" s="109"/>
      <c r="I17" s="73"/>
      <c r="J17" s="55"/>
      <c r="K17" s="55"/>
      <c r="L17" s="73"/>
      <c r="M17" s="73"/>
      <c r="N17" s="71"/>
      <c r="O17" s="73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71"/>
      <c r="AC17" s="71"/>
      <c r="AD17" s="71"/>
      <c r="AE17" s="71"/>
      <c r="AF17" s="71"/>
      <c r="AG17" s="71"/>
      <c r="AH17" s="71"/>
      <c r="AI17" s="71"/>
      <c r="AJ17" s="73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</row>
    <row r="18" spans="1:48" x14ac:dyDescent="0.25">
      <c r="A18" s="55"/>
      <c r="B18" s="234" t="s">
        <v>61</v>
      </c>
      <c r="C18" s="234"/>
      <c r="D18" s="55"/>
      <c r="E18" s="55"/>
      <c r="F18" s="107">
        <v>81172515.810000524</v>
      </c>
      <c r="G18" s="55"/>
      <c r="H18" s="107">
        <v>529928406.15700078</v>
      </c>
      <c r="I18" s="73">
        <v>9265065.7221000008</v>
      </c>
      <c r="J18" s="55"/>
      <c r="K18" s="73">
        <v>53898745.497899964</v>
      </c>
      <c r="L18" s="73">
        <v>138381009.70399985</v>
      </c>
      <c r="M18" s="73">
        <v>224729157.01599964</v>
      </c>
      <c r="N18" s="73">
        <v>426273977.93999946</v>
      </c>
      <c r="O18" s="73">
        <v>182965719.80000275</v>
      </c>
      <c r="P18" s="73">
        <v>8932421.7400019765</v>
      </c>
      <c r="Q18" s="73">
        <v>50000.350006580353</v>
      </c>
      <c r="R18" s="73">
        <v>132110916.98999655</v>
      </c>
      <c r="S18" s="73">
        <v>324059058.88000786</v>
      </c>
      <c r="T18" s="73">
        <v>0</v>
      </c>
      <c r="U18" s="73">
        <v>38712920.899999619</v>
      </c>
      <c r="V18" s="73">
        <v>6820132.0999994278</v>
      </c>
      <c r="W18" s="73">
        <v>6910156110.2599783</v>
      </c>
      <c r="X18" s="73">
        <v>6955689163.2599773</v>
      </c>
      <c r="Y18" s="73">
        <v>563671568.76000154</v>
      </c>
      <c r="Z18" s="73">
        <v>1168423522.23</v>
      </c>
      <c r="AA18" s="73">
        <v>1011650900.3529491</v>
      </c>
      <c r="AB18" s="73">
        <v>1100260328.4198971</v>
      </c>
      <c r="AC18" s="73">
        <v>3844006319.7628479</v>
      </c>
      <c r="AD18" s="73">
        <v>236819597.99938825</v>
      </c>
      <c r="AE18" s="73">
        <v>412824868.30709529</v>
      </c>
      <c r="AF18" s="73">
        <v>2575337851.1524868</v>
      </c>
      <c r="AG18" s="73">
        <v>7428733265.1136827</v>
      </c>
      <c r="AH18" s="73">
        <v>10468446774.772654</v>
      </c>
      <c r="AI18" s="73">
        <v>8202936451.8741693</v>
      </c>
      <c r="AJ18" s="73"/>
      <c r="AL18" s="73">
        <v>63163811.219999969</v>
      </c>
      <c r="AM18" s="73">
        <v>191898141.54000473</v>
      </c>
      <c r="AN18" s="73">
        <v>38712920.899999619</v>
      </c>
      <c r="AO18" s="73">
        <v>1732095090.9900017</v>
      </c>
      <c r="AP18" s="73">
        <v>649644466.30648351</v>
      </c>
      <c r="AQ18" s="55"/>
      <c r="AR18" s="73">
        <v>200544820.92399982</v>
      </c>
      <c r="AS18" s="73">
        <v>191948141.89001131</v>
      </c>
      <c r="AT18" s="73">
        <v>45533052.999999046</v>
      </c>
      <c r="AU18" s="73">
        <v>2743745991.3429508</v>
      </c>
      <c r="AV18" s="73">
        <v>3224982317.4589705</v>
      </c>
    </row>
    <row r="19" spans="1:48" x14ac:dyDescent="0.25">
      <c r="A19" s="55"/>
      <c r="B19" s="55" t="s">
        <v>583</v>
      </c>
      <c r="C19" s="55"/>
      <c r="D19" s="55"/>
      <c r="E19" s="55"/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3">
        <v>0</v>
      </c>
      <c r="L19" s="73">
        <v>0</v>
      </c>
      <c r="M19" s="73">
        <v>0</v>
      </c>
      <c r="N19" s="73">
        <v>0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  <c r="T19" s="73">
        <v>0</v>
      </c>
      <c r="U19" s="73">
        <v>0</v>
      </c>
      <c r="V19" s="73">
        <v>0</v>
      </c>
      <c r="W19" s="73">
        <v>0</v>
      </c>
      <c r="X19" s="73">
        <v>0</v>
      </c>
      <c r="Y19" s="73">
        <v>0</v>
      </c>
      <c r="Z19" s="73">
        <v>0</v>
      </c>
      <c r="AA19" s="73">
        <v>0</v>
      </c>
      <c r="AB19" s="73">
        <v>0</v>
      </c>
      <c r="AC19" s="73">
        <v>0</v>
      </c>
      <c r="AD19" s="73">
        <v>0</v>
      </c>
      <c r="AE19" s="73">
        <v>0</v>
      </c>
      <c r="AF19" s="73">
        <v>0</v>
      </c>
      <c r="AG19" s="73">
        <v>-1874836621.78743</v>
      </c>
      <c r="AH19" s="73">
        <v>-1874836621.78743</v>
      </c>
      <c r="AI19" s="73">
        <v>-1511963378.21257</v>
      </c>
      <c r="AJ19" s="73"/>
      <c r="AL19" s="73">
        <v>0</v>
      </c>
      <c r="AM19" s="73">
        <v>0</v>
      </c>
      <c r="AN19" s="73">
        <v>0</v>
      </c>
      <c r="AO19" s="73">
        <v>0</v>
      </c>
      <c r="AP19" s="73">
        <v>0</v>
      </c>
      <c r="AQ19" s="55"/>
      <c r="AR19" s="73">
        <v>0</v>
      </c>
      <c r="AS19" s="73">
        <v>0</v>
      </c>
      <c r="AT19" s="73">
        <v>0</v>
      </c>
      <c r="AU19" s="73">
        <v>0</v>
      </c>
      <c r="AV19" s="73">
        <v>0</v>
      </c>
    </row>
    <row r="20" spans="1:48" x14ac:dyDescent="0.25">
      <c r="B20" s="234" t="s">
        <v>62</v>
      </c>
      <c r="C20" s="234"/>
      <c r="D20" s="55"/>
      <c r="E20" s="55"/>
      <c r="F20" s="107">
        <v>1008040510.5189043</v>
      </c>
      <c r="G20" s="55"/>
      <c r="H20" s="107">
        <v>951148696.44701409</v>
      </c>
      <c r="I20" s="73">
        <v>309743088.41454101</v>
      </c>
      <c r="J20" s="55"/>
      <c r="K20" s="73">
        <v>291151784.36387181</v>
      </c>
      <c r="L20" s="73">
        <v>329776399.74895132</v>
      </c>
      <c r="M20" s="73">
        <v>327685587.80614197</v>
      </c>
      <c r="N20" s="73">
        <v>1259356860.3335061</v>
      </c>
      <c r="O20" s="73">
        <v>593407258.06618071</v>
      </c>
      <c r="P20" s="73">
        <v>1688844958.7660766</v>
      </c>
      <c r="Q20" s="73">
        <v>1141013092.8434963</v>
      </c>
      <c r="R20" s="73">
        <v>1078076755.2182426</v>
      </c>
      <c r="S20" s="73">
        <v>4501342064.8939962</v>
      </c>
      <c r="T20" s="73">
        <v>1090954737.0288267</v>
      </c>
      <c r="U20" s="73">
        <v>900579058.09809661</v>
      </c>
      <c r="V20" s="73">
        <v>1242677275.0258539</v>
      </c>
      <c r="W20" s="73">
        <v>1178028625.1145148</v>
      </c>
      <c r="X20" s="73">
        <v>4413239695.267292</v>
      </c>
      <c r="Y20" s="73">
        <v>1147138862.8737664</v>
      </c>
      <c r="Z20" s="73">
        <v>1149179327.7360063</v>
      </c>
      <c r="AA20" s="73">
        <v>1322933349.4081416</v>
      </c>
      <c r="AB20" s="73">
        <v>848051912.75557661</v>
      </c>
      <c r="AC20" s="73">
        <v>4467303452.7734909</v>
      </c>
      <c r="AD20" s="73">
        <v>1436924141.8499787</v>
      </c>
      <c r="AE20" s="73">
        <v>1156411726.2831933</v>
      </c>
      <c r="AF20" s="73">
        <v>816015648.23768473</v>
      </c>
      <c r="AG20" s="73">
        <v>1206887362.8865247</v>
      </c>
      <c r="AH20" s="73">
        <v>4616238879.2573814</v>
      </c>
      <c r="AI20" s="73">
        <v>1618127970.4678771</v>
      </c>
      <c r="AJ20" s="73"/>
      <c r="AL20" s="73">
        <v>600894872.77841282</v>
      </c>
      <c r="AM20" s="73">
        <v>2282252216.8322573</v>
      </c>
      <c r="AN20" s="73">
        <v>1991533795.1269233</v>
      </c>
      <c r="AO20" s="73">
        <v>2296318190.6097727</v>
      </c>
      <c r="AP20" s="73">
        <v>2593335868.133172</v>
      </c>
      <c r="AQ20" s="55"/>
      <c r="AR20" s="73">
        <v>930671272.52736413</v>
      </c>
      <c r="AS20" s="73">
        <v>3423265309.6757536</v>
      </c>
      <c r="AT20" s="73">
        <v>3235211070.1527772</v>
      </c>
      <c r="AU20" s="73">
        <v>3619251540.0179143</v>
      </c>
      <c r="AV20" s="73">
        <v>3409351516.3708568</v>
      </c>
    </row>
    <row r="21" spans="1:48" x14ac:dyDescent="0.25">
      <c r="B21" s="234" t="s">
        <v>63</v>
      </c>
      <c r="C21" s="234"/>
      <c r="D21" s="55"/>
      <c r="E21" s="55"/>
      <c r="F21" s="107">
        <v>9496190166.7863827</v>
      </c>
      <c r="G21" s="55"/>
      <c r="H21" s="107">
        <v>11240414274.359829</v>
      </c>
      <c r="I21" s="73">
        <v>2926844472.3423243</v>
      </c>
      <c r="J21" s="55"/>
      <c r="K21" s="73">
        <v>3002293290.7501516</v>
      </c>
      <c r="L21" s="73">
        <v>3023428524.0970669</v>
      </c>
      <c r="M21" s="73">
        <v>3073802996.6654873</v>
      </c>
      <c r="N21" s="73">
        <v>12026369283.85503</v>
      </c>
      <c r="O21" s="73">
        <v>3160510751.9816494</v>
      </c>
      <c r="P21" s="73">
        <v>3287991245.3823614</v>
      </c>
      <c r="Q21" s="73">
        <v>3582313009.5354452</v>
      </c>
      <c r="R21" s="73">
        <v>3732761923.2276554</v>
      </c>
      <c r="S21" s="73">
        <v>13763576930.127111</v>
      </c>
      <c r="T21" s="73">
        <v>3829383484.3003941</v>
      </c>
      <c r="U21" s="73">
        <v>3954994745.2525997</v>
      </c>
      <c r="V21" s="73">
        <v>4075302604.9889946</v>
      </c>
      <c r="W21" s="73">
        <v>4042312523.6146259</v>
      </c>
      <c r="X21" s="73">
        <v>15900993358.156614</v>
      </c>
      <c r="Y21" s="73">
        <v>4192857778.0791082</v>
      </c>
      <c r="Z21" s="73">
        <v>4432732417.4644842</v>
      </c>
      <c r="AA21" s="73">
        <v>4425272871.4924068</v>
      </c>
      <c r="AB21" s="73">
        <v>4532349197.3833771</v>
      </c>
      <c r="AC21" s="73">
        <v>17583212264.419376</v>
      </c>
      <c r="AD21" s="73">
        <v>4842917820.3637123</v>
      </c>
      <c r="AE21" s="73">
        <v>5219744848.2227077</v>
      </c>
      <c r="AF21" s="73">
        <v>5232618714.9310722</v>
      </c>
      <c r="AG21" s="73">
        <v>5374414661.0291767</v>
      </c>
      <c r="AH21" s="73">
        <v>20669696044.546669</v>
      </c>
      <c r="AI21" s="73">
        <v>6046780278.2746525</v>
      </c>
      <c r="AJ21" s="73"/>
      <c r="AL21" s="73">
        <v>5929137763.0924759</v>
      </c>
      <c r="AM21" s="73">
        <v>6448501997.3640108</v>
      </c>
      <c r="AN21" s="73">
        <v>7784378229.5529938</v>
      </c>
      <c r="AO21" s="73">
        <v>8625590195.5435925</v>
      </c>
      <c r="AP21" s="73">
        <v>10062662668.58642</v>
      </c>
      <c r="AQ21" s="55"/>
      <c r="AR21" s="73">
        <v>8951566287.1895428</v>
      </c>
      <c r="AS21" s="73">
        <v>10030815006.899456</v>
      </c>
      <c r="AT21" s="73">
        <v>11858680834.541988</v>
      </c>
      <c r="AU21" s="73">
        <v>13050863067.035999</v>
      </c>
      <c r="AV21" s="73">
        <v>15296281383.517492</v>
      </c>
    </row>
    <row r="22" spans="1:48" x14ac:dyDescent="0.25">
      <c r="B22" s="243" t="s">
        <v>64</v>
      </c>
      <c r="C22" s="234"/>
      <c r="D22" s="55"/>
      <c r="E22" s="55"/>
      <c r="F22" s="107">
        <v>4803780983.903244</v>
      </c>
      <c r="G22" s="55"/>
      <c r="H22" s="107">
        <v>5664760843.8863449</v>
      </c>
      <c r="I22" s="73">
        <v>1699501037.7278116</v>
      </c>
      <c r="J22" s="55"/>
      <c r="K22" s="73">
        <v>1842291792.5878098</v>
      </c>
      <c r="L22" s="73">
        <v>1438716996.0627241</v>
      </c>
      <c r="M22" s="73">
        <v>2601125968.376441</v>
      </c>
      <c r="N22" s="73">
        <v>7581635794.7547865</v>
      </c>
      <c r="O22" s="73">
        <v>2100092509.8440332</v>
      </c>
      <c r="P22" s="73">
        <v>2216630498.7019291</v>
      </c>
      <c r="Q22" s="73">
        <v>2178075086.2735548</v>
      </c>
      <c r="R22" s="73">
        <v>3430168721.2929363</v>
      </c>
      <c r="S22" s="73">
        <v>9924966816.1124535</v>
      </c>
      <c r="T22" s="73">
        <v>2615311897.3113151</v>
      </c>
      <c r="U22" s="73">
        <v>2988502055.3899951</v>
      </c>
      <c r="V22" s="73">
        <v>2740790419.3089685</v>
      </c>
      <c r="W22" s="73">
        <v>5290865242.7572765</v>
      </c>
      <c r="X22" s="73">
        <v>13636469614.767555</v>
      </c>
      <c r="Y22" s="73">
        <v>3048376335.2126827</v>
      </c>
      <c r="Z22" s="73">
        <v>4160794921.8866043</v>
      </c>
      <c r="AA22" s="73">
        <v>3351154434.8998585</v>
      </c>
      <c r="AB22" s="73">
        <v>4503481313.8755217</v>
      </c>
      <c r="AC22" s="73">
        <v>14834125372.306168</v>
      </c>
      <c r="AD22" s="73">
        <v>3559120096.5724554</v>
      </c>
      <c r="AE22" s="73">
        <v>2948220200.7428508</v>
      </c>
      <c r="AF22" s="73">
        <v>2611731642.9713125</v>
      </c>
      <c r="AG22" s="73">
        <v>4710372136.3889484</v>
      </c>
      <c r="AH22" s="73">
        <v>12782752338.084568</v>
      </c>
      <c r="AI22" s="73">
        <v>4616311229.7367287</v>
      </c>
      <c r="AJ22" s="73"/>
      <c r="AL22" s="73">
        <v>3541792830.3156214</v>
      </c>
      <c r="AM22" s="73">
        <v>4316723008.5459623</v>
      </c>
      <c r="AN22" s="73">
        <v>5603813952.7013102</v>
      </c>
      <c r="AO22" s="73">
        <v>7209171257.099287</v>
      </c>
      <c r="AP22" s="73">
        <v>6507340297.4153109</v>
      </c>
      <c r="AQ22" s="55"/>
      <c r="AR22" s="73">
        <v>4980509826.3783455</v>
      </c>
      <c r="AS22" s="73">
        <v>6494798094.8195171</v>
      </c>
      <c r="AT22" s="73">
        <v>8344604372.0102787</v>
      </c>
      <c r="AU22" s="73">
        <v>10560325691.999146</v>
      </c>
      <c r="AV22" s="73">
        <v>8073380201.6956196</v>
      </c>
    </row>
    <row r="23" spans="1:48" x14ac:dyDescent="0.25">
      <c r="B23" s="243" t="s">
        <v>358</v>
      </c>
      <c r="C23" s="234"/>
      <c r="D23" s="55"/>
      <c r="E23" s="55"/>
      <c r="F23" s="107">
        <v>27538330389.479221</v>
      </c>
      <c r="G23" s="55"/>
      <c r="H23" s="107">
        <v>35487237407.331566</v>
      </c>
      <c r="I23" s="73">
        <v>9395786435.4489002</v>
      </c>
      <c r="J23" s="55"/>
      <c r="K23" s="73">
        <v>9221381839.0354443</v>
      </c>
      <c r="L23" s="73">
        <v>9514907758.4503021</v>
      </c>
      <c r="M23" s="73">
        <v>10148834886.166809</v>
      </c>
      <c r="N23" s="73">
        <v>38280910919.101456</v>
      </c>
      <c r="O23" s="73">
        <v>9284846675.8072109</v>
      </c>
      <c r="P23" s="73">
        <v>8022632151.6606922</v>
      </c>
      <c r="Q23" s="73">
        <v>11583842274.781181</v>
      </c>
      <c r="R23" s="73">
        <v>12819687379.773788</v>
      </c>
      <c r="S23" s="73">
        <v>41712008482.022873</v>
      </c>
      <c r="T23" s="73">
        <v>16195057556.842922</v>
      </c>
      <c r="U23" s="73">
        <v>13963396012.948101</v>
      </c>
      <c r="V23" s="73">
        <v>11599256855.84108</v>
      </c>
      <c r="W23" s="73">
        <v>9208895146.5001221</v>
      </c>
      <c r="X23" s="73">
        <v>50965605572.132225</v>
      </c>
      <c r="Y23" s="73">
        <v>11077223921.247749</v>
      </c>
      <c r="Z23" s="73">
        <v>12952760740.322678</v>
      </c>
      <c r="AA23" s="73">
        <v>11787252905.011246</v>
      </c>
      <c r="AB23" s="73">
        <v>11689366052.144821</v>
      </c>
      <c r="AC23" s="73">
        <v>47505603618.726494</v>
      </c>
      <c r="AD23" s="73">
        <v>12215072014.388355</v>
      </c>
      <c r="AE23" s="73">
        <v>12597011971.243217</v>
      </c>
      <c r="AF23" s="73">
        <v>12877492541.537205</v>
      </c>
      <c r="AG23" s="73">
        <v>14662546709.365036</v>
      </c>
      <c r="AH23" s="73">
        <v>52352123236.533836</v>
      </c>
      <c r="AI23" s="73">
        <v>14452722619.393608</v>
      </c>
      <c r="AJ23" s="73"/>
      <c r="AL23" s="73">
        <v>18617168274.484344</v>
      </c>
      <c r="AM23" s="73">
        <v>17308478827.467903</v>
      </c>
      <c r="AN23" s="73">
        <v>30158453569.791023</v>
      </c>
      <c r="AO23" s="73">
        <v>24029984661.570427</v>
      </c>
      <c r="AP23" s="73">
        <v>24812083985.631573</v>
      </c>
      <c r="AQ23" s="55"/>
      <c r="AR23" s="73">
        <v>28132076032.934647</v>
      </c>
      <c r="AS23" s="73">
        <v>28892321102.249084</v>
      </c>
      <c r="AT23" s="73">
        <v>41756710425.632103</v>
      </c>
      <c r="AU23" s="73">
        <v>35817237566.581673</v>
      </c>
      <c r="AV23" s="73">
        <v>37688576527.1688</v>
      </c>
    </row>
    <row r="24" spans="1:48" x14ac:dyDescent="0.25">
      <c r="B24" s="76" t="s">
        <v>309</v>
      </c>
      <c r="C24" s="55"/>
      <c r="D24" s="55"/>
      <c r="E24" s="55"/>
      <c r="F24" s="73">
        <v>0</v>
      </c>
      <c r="G24" s="55"/>
      <c r="H24" s="73">
        <v>0</v>
      </c>
      <c r="I24" s="73">
        <v>0</v>
      </c>
      <c r="J24" s="55"/>
      <c r="K24" s="73">
        <v>0</v>
      </c>
      <c r="L24" s="73">
        <v>0</v>
      </c>
      <c r="M24" s="73">
        <v>0</v>
      </c>
      <c r="N24" s="73">
        <v>0</v>
      </c>
      <c r="O24" s="73">
        <v>0</v>
      </c>
      <c r="P24" s="73">
        <v>854599822.18999994</v>
      </c>
      <c r="Q24" s="73">
        <v>-428043812.6837998</v>
      </c>
      <c r="R24" s="73">
        <v>262660520.57379991</v>
      </c>
      <c r="S24" s="73">
        <v>690216530.08000004</v>
      </c>
      <c r="T24" s="73">
        <v>0</v>
      </c>
      <c r="U24" s="73">
        <v>0</v>
      </c>
      <c r="V24" s="73">
        <v>0</v>
      </c>
      <c r="W24" s="73">
        <v>100494540.71784997</v>
      </c>
      <c r="X24" s="73">
        <v>0</v>
      </c>
      <c r="Y24" s="73">
        <v>0</v>
      </c>
      <c r="Z24" s="73">
        <v>0</v>
      </c>
      <c r="AA24" s="73">
        <v>597068294.49000001</v>
      </c>
      <c r="AB24" s="73">
        <v>0</v>
      </c>
      <c r="AC24" s="73">
        <v>0</v>
      </c>
      <c r="AD24" s="73">
        <v>77275115.959999993</v>
      </c>
      <c r="AE24" s="73">
        <v>0</v>
      </c>
      <c r="AF24" s="73">
        <v>0</v>
      </c>
      <c r="AG24" s="231">
        <v>0</v>
      </c>
      <c r="AH24" s="231">
        <v>0</v>
      </c>
      <c r="AI24" s="73">
        <v>23777209.559999999</v>
      </c>
      <c r="AJ24" s="73"/>
      <c r="AL24" s="73">
        <v>0</v>
      </c>
      <c r="AM24" s="73">
        <v>854599822.18999994</v>
      </c>
      <c r="AN24" s="73">
        <v>0</v>
      </c>
      <c r="AO24" s="73">
        <v>0</v>
      </c>
      <c r="AP24" s="73">
        <v>0</v>
      </c>
      <c r="AQ24" s="55"/>
      <c r="AR24" s="73">
        <v>0</v>
      </c>
      <c r="AS24" s="73">
        <v>426556009.50620013</v>
      </c>
      <c r="AT24" s="73">
        <v>0</v>
      </c>
      <c r="AU24" s="73">
        <v>429968844.81</v>
      </c>
      <c r="AV24" s="73">
        <v>0</v>
      </c>
    </row>
    <row r="25" spans="1:48" x14ac:dyDescent="0.25">
      <c r="B25" s="76" t="s">
        <v>312</v>
      </c>
      <c r="C25" s="55"/>
      <c r="D25" s="55"/>
      <c r="E25" s="55"/>
      <c r="F25" s="73">
        <v>0</v>
      </c>
      <c r="G25" s="55"/>
      <c r="H25" s="73">
        <v>0</v>
      </c>
      <c r="I25" s="73">
        <v>0</v>
      </c>
      <c r="J25" s="55"/>
      <c r="K25" s="73">
        <v>0</v>
      </c>
      <c r="L25" s="73">
        <v>0</v>
      </c>
      <c r="M25" s="73">
        <v>0</v>
      </c>
      <c r="N25" s="73">
        <v>0</v>
      </c>
      <c r="O25" s="73">
        <v>0</v>
      </c>
      <c r="P25" s="73">
        <v>10511536963.462271</v>
      </c>
      <c r="Q25" s="73">
        <v>0</v>
      </c>
      <c r="R25" s="73">
        <v>0</v>
      </c>
      <c r="S25" s="73">
        <v>10511536963.462271</v>
      </c>
      <c r="T25" s="73">
        <v>0</v>
      </c>
      <c r="U25" s="73">
        <v>0</v>
      </c>
      <c r="V25" s="73">
        <v>0</v>
      </c>
      <c r="W25" s="73">
        <v>0</v>
      </c>
      <c r="X25" s="73">
        <v>0</v>
      </c>
      <c r="Y25" s="73">
        <v>0</v>
      </c>
      <c r="Z25" s="73">
        <v>0</v>
      </c>
      <c r="AA25" s="73">
        <v>0</v>
      </c>
      <c r="AB25" s="73">
        <v>0</v>
      </c>
      <c r="AC25" s="73">
        <v>0</v>
      </c>
      <c r="AD25" s="73">
        <v>0</v>
      </c>
      <c r="AE25" s="73">
        <v>0</v>
      </c>
      <c r="AF25" s="73">
        <v>0</v>
      </c>
      <c r="AG25" s="73">
        <v>0</v>
      </c>
      <c r="AH25" s="73">
        <v>0</v>
      </c>
      <c r="AI25" s="73">
        <v>0</v>
      </c>
      <c r="AJ25" s="73"/>
      <c r="AL25" s="73">
        <v>0</v>
      </c>
      <c r="AM25" s="73">
        <v>10511536963.462271</v>
      </c>
      <c r="AN25" s="73">
        <v>0</v>
      </c>
      <c r="AO25" s="73">
        <v>0</v>
      </c>
      <c r="AP25" s="73">
        <v>0</v>
      </c>
      <c r="AQ25" s="55"/>
      <c r="AR25" s="73">
        <v>0</v>
      </c>
      <c r="AS25" s="73">
        <v>10511536963.462271</v>
      </c>
      <c r="AT25" s="73">
        <v>0</v>
      </c>
      <c r="AU25" s="73">
        <v>0</v>
      </c>
      <c r="AV25" s="73">
        <v>0</v>
      </c>
    </row>
    <row r="26" spans="1:48" x14ac:dyDescent="0.25">
      <c r="B26" s="237" t="s">
        <v>65</v>
      </c>
      <c r="C26" s="234"/>
      <c r="D26" s="55"/>
      <c r="E26" s="55"/>
      <c r="F26" s="108">
        <v>42926514566.497757</v>
      </c>
      <c r="G26" s="55"/>
      <c r="H26" s="108">
        <v>53873489628.181755</v>
      </c>
      <c r="I26" s="77">
        <v>14342140099.655678</v>
      </c>
      <c r="J26" s="55"/>
      <c r="K26" s="77">
        <v>14410017452.235176</v>
      </c>
      <c r="L26" s="77">
        <v>14445210688.063046</v>
      </c>
      <c r="M26" s="77">
        <v>16377178596.03088</v>
      </c>
      <c r="N26" s="77">
        <v>59573546835.984779</v>
      </c>
      <c r="O26" s="77">
        <v>15321822915.499077</v>
      </c>
      <c r="P26" s="77">
        <v>26593168061.903332</v>
      </c>
      <c r="Q26" s="77">
        <v>18057249651.099884</v>
      </c>
      <c r="R26" s="77">
        <v>21456466217.076416</v>
      </c>
      <c r="S26" s="77">
        <v>81427706845.578705</v>
      </c>
      <c r="T26" s="77">
        <v>23729707675.483459</v>
      </c>
      <c r="U26" s="77">
        <v>21847184792.588791</v>
      </c>
      <c r="V26" s="77">
        <v>19664847287.264896</v>
      </c>
      <c r="W26" s="77">
        <v>26729752188.964367</v>
      </c>
      <c r="X26" s="77">
        <v>91871997403.583664</v>
      </c>
      <c r="Y26" s="77">
        <v>20029268466.173309</v>
      </c>
      <c r="Z26" s="77">
        <v>23863890929.639771</v>
      </c>
      <c r="AA26" s="77">
        <v>22495332755.654606</v>
      </c>
      <c r="AB26" s="77">
        <v>22671508804.579193</v>
      </c>
      <c r="AC26" s="77">
        <v>88234251027.988373</v>
      </c>
      <c r="AD26" s="77">
        <v>22368128787.133888</v>
      </c>
      <c r="AE26" s="77">
        <f>SUM(AE18:AE25)</f>
        <v>22334213614.799065</v>
      </c>
      <c r="AF26" s="77">
        <f>SUM(AF18:AF25)</f>
        <v>24113196398.829762</v>
      </c>
      <c r="AG26" s="77">
        <v>31508117512.995941</v>
      </c>
      <c r="AH26" s="77">
        <f>SUM(AH18:AH25)</f>
        <v>99014420651.407684</v>
      </c>
      <c r="AI26" s="77">
        <f>SUM(AI18:AI25)</f>
        <v>33448692381.094467</v>
      </c>
      <c r="AJ26" s="78"/>
      <c r="AL26" s="77">
        <v>28752157551.890854</v>
      </c>
      <c r="AM26" s="77">
        <v>41914990977.402405</v>
      </c>
      <c r="AN26" s="77">
        <v>45576892468.07225</v>
      </c>
      <c r="AO26" s="77">
        <v>43893159395.81308</v>
      </c>
      <c r="AP26" s="77">
        <f>SUM(AP18:AP25)</f>
        <v>44625067286.07296</v>
      </c>
      <c r="AQ26" s="55"/>
      <c r="AR26" s="77">
        <v>43197368239.953903</v>
      </c>
      <c r="AS26" s="77">
        <v>59972240628.502296</v>
      </c>
      <c r="AT26" s="77">
        <v>65241739755.337143</v>
      </c>
      <c r="AU26" s="77">
        <v>66221392701.787682</v>
      </c>
      <c r="AV26" s="77">
        <f>SUM(AV18:AV25)</f>
        <v>67692571946.211739</v>
      </c>
    </row>
    <row r="27" spans="1:48" x14ac:dyDescent="0.25">
      <c r="B27" s="55"/>
      <c r="C27" s="55"/>
      <c r="D27" s="55"/>
      <c r="E27" s="55"/>
      <c r="F27" s="107"/>
      <c r="G27" s="55"/>
      <c r="H27" s="107"/>
      <c r="I27" s="73"/>
      <c r="J27" s="55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L27" s="73"/>
      <c r="AM27" s="73"/>
      <c r="AN27" s="73"/>
      <c r="AO27" s="73"/>
      <c r="AP27" s="73"/>
      <c r="AQ27" s="55"/>
      <c r="AR27" s="73"/>
      <c r="AS27" s="73"/>
      <c r="AT27" s="73"/>
      <c r="AU27" s="73"/>
      <c r="AV27" s="73"/>
    </row>
    <row r="28" spans="1:48" ht="27.95" customHeight="1" x14ac:dyDescent="0.25">
      <c r="B28" s="242" t="s">
        <v>66</v>
      </c>
      <c r="C28" s="244"/>
      <c r="D28" s="79"/>
      <c r="E28" s="79"/>
      <c r="F28" s="108">
        <v>4974766758.105278</v>
      </c>
      <c r="G28" s="79"/>
      <c r="H28" s="108">
        <v>-570395639.73880768</v>
      </c>
      <c r="I28" s="77">
        <f>I15-I26+(10^6)/2</f>
        <v>1153922553.3452206</v>
      </c>
      <c r="J28" s="79"/>
      <c r="K28" s="77">
        <v>354965069.41052437</v>
      </c>
      <c r="L28" s="77">
        <v>-3652577880.7687645</v>
      </c>
      <c r="M28" s="77">
        <v>-2939270101.6732578</v>
      </c>
      <c r="N28" s="77">
        <v>-5083460359.6862793</v>
      </c>
      <c r="O28" s="77">
        <v>1484720938.5144558</v>
      </c>
      <c r="P28" s="77">
        <v>-5281382461.7518425</v>
      </c>
      <c r="Q28" s="77">
        <v>-4594685617.5419846</v>
      </c>
      <c r="R28" s="77">
        <v>-3840945020.2600403</v>
      </c>
      <c r="S28" s="77">
        <v>-12233292161.039413</v>
      </c>
      <c r="T28" s="77">
        <v>1277492173.2468109</v>
      </c>
      <c r="U28" s="77">
        <v>561806602.68216705</v>
      </c>
      <c r="V28" s="77">
        <v>-3588393998.9265385</v>
      </c>
      <c r="W28" s="77">
        <v>-813642981.84942627</v>
      </c>
      <c r="X28" s="77">
        <v>-2562738204.8470001</v>
      </c>
      <c r="Y28" s="77">
        <v>4630453392.6072578</v>
      </c>
      <c r="Z28" s="77">
        <v>4768490381.2456436</v>
      </c>
      <c r="AA28" s="77">
        <v>-3204844593.6720734</v>
      </c>
      <c r="AB28" s="77">
        <v>2103978631.8841934</v>
      </c>
      <c r="AC28" s="77">
        <v>8297077812.065033</v>
      </c>
      <c r="AD28" s="77">
        <v>2534619291.2113724</v>
      </c>
      <c r="AE28" s="77">
        <f>AE15-AE26</f>
        <v>7552670522.1461372</v>
      </c>
      <c r="AF28" s="77">
        <f>AF15-AF26</f>
        <v>-2915467525.8508606</v>
      </c>
      <c r="AG28" s="77">
        <f>AG15-AG26</f>
        <v>2883193690.7578201</v>
      </c>
      <c r="AH28" s="77">
        <f>AH15-AH26</f>
        <v>10056015978.164444</v>
      </c>
      <c r="AI28" s="77">
        <f>AI15-AI26</f>
        <v>7732844424.6349564</v>
      </c>
      <c r="AJ28" s="78"/>
      <c r="AL28" s="77">
        <v>1509387622.7557373</v>
      </c>
      <c r="AM28" s="77">
        <v>-3795661523.237381</v>
      </c>
      <c r="AN28" s="77">
        <v>1839298775.9289703</v>
      </c>
      <c r="AO28" s="77">
        <v>9397943773.8529129</v>
      </c>
      <c r="AP28" s="77">
        <f>AP15-AP26</f>
        <v>10088289813.2575</v>
      </c>
      <c r="AQ28" s="79"/>
      <c r="AR28" s="77">
        <v>-2144190258.0130234</v>
      </c>
      <c r="AS28" s="77">
        <v>-8391347140.7793732</v>
      </c>
      <c r="AT28" s="77">
        <v>-1749095222.9975586</v>
      </c>
      <c r="AU28" s="77">
        <v>6193099180.1808395</v>
      </c>
      <c r="AV28" s="77">
        <f>AV15-AV26</f>
        <v>7172822287.4066238</v>
      </c>
    </row>
    <row r="29" spans="1:48" s="46" customFormat="1" x14ac:dyDescent="0.25">
      <c r="B29" s="76" t="s">
        <v>416</v>
      </c>
      <c r="C29" s="55"/>
      <c r="D29" s="55"/>
      <c r="E29" s="55"/>
      <c r="F29" s="107">
        <v>-39646763.877999999</v>
      </c>
      <c r="G29" s="55"/>
      <c r="H29" s="107">
        <v>-52762833.5</v>
      </c>
      <c r="I29" s="73">
        <v>9264191.9866564199</v>
      </c>
      <c r="J29" s="55"/>
      <c r="K29" s="73">
        <v>-10500985.046098618</v>
      </c>
      <c r="L29" s="73">
        <v>-42706413.144169398</v>
      </c>
      <c r="M29" s="73">
        <v>0</v>
      </c>
      <c r="N29" s="73">
        <v>-44943206.203611605</v>
      </c>
      <c r="O29" s="73">
        <v>0</v>
      </c>
      <c r="P29" s="73">
        <v>0</v>
      </c>
      <c r="Q29" s="73">
        <v>0</v>
      </c>
      <c r="R29" s="73">
        <v>0</v>
      </c>
      <c r="S29" s="73">
        <v>0</v>
      </c>
      <c r="T29" s="73">
        <v>0</v>
      </c>
      <c r="U29" s="73">
        <v>0</v>
      </c>
      <c r="V29" s="73">
        <v>0</v>
      </c>
      <c r="W29" s="73">
        <v>92511384.219999999</v>
      </c>
      <c r="X29" s="73">
        <v>92511384.219999999</v>
      </c>
      <c r="Y29" s="73">
        <v>-36137329.880957559</v>
      </c>
      <c r="Z29" s="73">
        <v>-49395177.0166208</v>
      </c>
      <c r="AA29" s="73">
        <v>-48807817.402718902</v>
      </c>
      <c r="AB29" s="73">
        <v>-20596278.067430675</v>
      </c>
      <c r="AC29" s="73">
        <v>-154936602.36772794</v>
      </c>
      <c r="AD29" s="73">
        <v>-44608974.517460003</v>
      </c>
      <c r="AE29" s="73">
        <v>-78131655.627665535</v>
      </c>
      <c r="AF29" s="73">
        <v>-31066013.126547039</v>
      </c>
      <c r="AG29" s="73">
        <v>131533725.27167258</v>
      </c>
      <c r="AH29" s="73">
        <v>-22272918</v>
      </c>
      <c r="AI29" s="73">
        <v>-1888311.27</v>
      </c>
      <c r="AJ29" s="73"/>
      <c r="AK29" s="55"/>
      <c r="AL29" s="73">
        <v>-2236793.0594422016</v>
      </c>
      <c r="AM29" s="73">
        <v>0</v>
      </c>
      <c r="AN29" s="73">
        <v>0</v>
      </c>
      <c r="AO29" s="73">
        <v>-84532506.897578359</v>
      </c>
      <c r="AP29" s="73">
        <v>-122740630.14512554</v>
      </c>
      <c r="AQ29" s="55"/>
      <c r="AR29" s="73">
        <v>-44943206.203611597</v>
      </c>
      <c r="AS29" s="73">
        <v>0</v>
      </c>
      <c r="AT29" s="73">
        <v>0</v>
      </c>
      <c r="AU29" s="73">
        <v>-134340324.30029726</v>
      </c>
      <c r="AV29" s="73">
        <v>-153806643.27167258</v>
      </c>
    </row>
    <row r="30" spans="1:48" x14ac:dyDescent="0.25">
      <c r="B30" s="237" t="s">
        <v>67</v>
      </c>
      <c r="C30" s="234"/>
      <c r="D30" s="55"/>
      <c r="E30" s="55"/>
      <c r="F30" s="111">
        <v>4935119994.2272778</v>
      </c>
      <c r="G30" s="55"/>
      <c r="H30" s="111">
        <v>-623158473.23880768</v>
      </c>
      <c r="I30" s="80">
        <f>I28+I29</f>
        <v>1163186745.331877</v>
      </c>
      <c r="J30" s="55"/>
      <c r="K30" s="80">
        <v>344464084.36442578</v>
      </c>
      <c r="L30" s="80">
        <v>-3696284293.9129338</v>
      </c>
      <c r="M30" s="80">
        <v>-2939270101.6732578</v>
      </c>
      <c r="N30" s="80">
        <v>-5128403565.8898907</v>
      </c>
      <c r="O30" s="80">
        <v>1484720938.5144558</v>
      </c>
      <c r="P30" s="80">
        <v>-5281382461.7518425</v>
      </c>
      <c r="Q30" s="80">
        <v>-4594685617.5419846</v>
      </c>
      <c r="R30" s="80">
        <v>-3840945020.2600403</v>
      </c>
      <c r="S30" s="80">
        <v>-12233292161.039413</v>
      </c>
      <c r="T30" s="80">
        <v>1277492173.2468109</v>
      </c>
      <c r="U30" s="80">
        <v>561806602.68216705</v>
      </c>
      <c r="V30" s="80">
        <v>561806602.68216705</v>
      </c>
      <c r="W30" s="80">
        <v>-721131597.62942624</v>
      </c>
      <c r="X30" s="80">
        <v>-2470226820.6270003</v>
      </c>
      <c r="Y30" s="80">
        <v>4594316062.7263002</v>
      </c>
      <c r="Z30" s="80">
        <v>4719095204.229023</v>
      </c>
      <c r="AA30" s="80">
        <v>-3253652411.0747924</v>
      </c>
      <c r="AB30" s="80">
        <v>2083382353.8167627</v>
      </c>
      <c r="AC30" s="80">
        <v>8142141209.6973047</v>
      </c>
      <c r="AD30" s="80">
        <v>2490010316.6939125</v>
      </c>
      <c r="AE30" s="80">
        <f>AE28+AE29</f>
        <v>7474538866.5184717</v>
      </c>
      <c r="AF30" s="80">
        <f>AF28+AF29+1*10^6</f>
        <v>-2945533538.9774075</v>
      </c>
      <c r="AG30" s="80">
        <f>AG28+AG29</f>
        <v>3014727416.0294929</v>
      </c>
      <c r="AH30" s="80">
        <f>AH28+AH29</f>
        <v>10033743060.164444</v>
      </c>
      <c r="AI30" s="80">
        <f>AI28+AI29</f>
        <v>7730956113.3649559</v>
      </c>
      <c r="AJ30" s="78"/>
      <c r="AK30" s="55"/>
      <c r="AL30" s="80">
        <v>1507150829.696295</v>
      </c>
      <c r="AM30" s="80">
        <v>-3795661523.237381</v>
      </c>
      <c r="AN30" s="80">
        <v>1839298775.9289703</v>
      </c>
      <c r="AO30" s="80">
        <v>9313411266.9553337</v>
      </c>
      <c r="AP30" s="80">
        <v>9964549183.1123734</v>
      </c>
      <c r="AQ30" s="55"/>
      <c r="AR30" s="80">
        <v>-2189133464.2166348</v>
      </c>
      <c r="AS30" s="80">
        <v>-8391347140.7793732</v>
      </c>
      <c r="AT30" s="80">
        <v>-1749095222.9975586</v>
      </c>
      <c r="AU30" s="80">
        <v>6058758855.8805428</v>
      </c>
      <c r="AV30" s="80">
        <v>7019015644.1349745</v>
      </c>
    </row>
    <row r="31" spans="1:48" ht="14.1" customHeight="1" x14ac:dyDescent="0.25">
      <c r="B31" s="46"/>
      <c r="F31" s="110"/>
      <c r="H31" s="112"/>
      <c r="I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81"/>
      <c r="AL31" s="81"/>
      <c r="AM31" s="81"/>
      <c r="AN31" s="81"/>
      <c r="AO31" s="81"/>
      <c r="AP31" s="81"/>
      <c r="AR31" s="81"/>
      <c r="AS31" s="81"/>
      <c r="AT31" s="81"/>
      <c r="AU31" s="81"/>
      <c r="AV31" s="81"/>
    </row>
    <row r="32" spans="1:48" x14ac:dyDescent="0.25">
      <c r="B32" s="234" t="s">
        <v>68</v>
      </c>
      <c r="C32" s="234"/>
      <c r="D32" s="55"/>
      <c r="E32" s="55"/>
      <c r="F32" s="110"/>
      <c r="G32" s="55"/>
      <c r="H32" s="110"/>
      <c r="I32" s="78"/>
      <c r="J32" s="55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AJ32" s="78"/>
      <c r="AK32" s="55"/>
      <c r="AL32" s="78"/>
      <c r="AM32" s="78"/>
      <c r="AN32" s="78"/>
      <c r="AO32" s="78"/>
      <c r="AP32" s="78"/>
      <c r="AQ32" s="55"/>
      <c r="AR32" s="78"/>
      <c r="AS32" s="78"/>
      <c r="AT32" s="78"/>
      <c r="AU32" s="78"/>
      <c r="AV32" s="78"/>
    </row>
    <row r="33" spans="2:48" x14ac:dyDescent="0.25">
      <c r="B33" s="82"/>
      <c r="C33" s="60" t="s">
        <v>69</v>
      </c>
      <c r="F33" s="107">
        <v>1185659405.7780499</v>
      </c>
      <c r="H33" s="107">
        <v>486230940.83009613</v>
      </c>
      <c r="I33" s="73">
        <v>245933210.79610449</v>
      </c>
      <c r="K33" s="73">
        <v>339763545.29000539</v>
      </c>
      <c r="L33" s="73">
        <v>-37816488.034155846</v>
      </c>
      <c r="M33" s="73">
        <v>237027631.94804597</v>
      </c>
      <c r="N33" s="73">
        <v>784907900</v>
      </c>
      <c r="O33" s="73">
        <v>372546288.79440761</v>
      </c>
      <c r="P33" s="73">
        <v>588387385.25456619</v>
      </c>
      <c r="Q33" s="73">
        <v>673557025.6637156</v>
      </c>
      <c r="R33" s="73">
        <v>-468384385.08269143</v>
      </c>
      <c r="S33" s="73">
        <v>1167106314.629998</v>
      </c>
      <c r="T33" s="73">
        <v>359016880</v>
      </c>
      <c r="U33" s="73">
        <v>494949033</v>
      </c>
      <c r="V33" s="73">
        <v>238324261</v>
      </c>
      <c r="W33" s="73">
        <v>-137149587</v>
      </c>
      <c r="X33" s="73">
        <v>955140587</v>
      </c>
      <c r="Y33" s="73">
        <v>482686821</v>
      </c>
      <c r="Z33" s="73">
        <v>338700582.24000001</v>
      </c>
      <c r="AA33" s="73">
        <v>53128318.919999957</v>
      </c>
      <c r="AB33" s="73">
        <v>105695155.15900028</v>
      </c>
      <c r="AC33" s="73">
        <v>981210877.31900024</v>
      </c>
      <c r="AD33" s="73">
        <v>426830014</v>
      </c>
      <c r="AE33" s="73">
        <v>930156984</v>
      </c>
      <c r="AF33" s="73">
        <v>-136549664</v>
      </c>
      <c r="AG33" s="73">
        <v>294168763.46998</v>
      </c>
      <c r="AH33" s="73">
        <v>1513606097.46998</v>
      </c>
      <c r="AI33" s="73">
        <v>524172072</v>
      </c>
      <c r="AJ33" s="73"/>
      <c r="AL33" s="73">
        <v>585696756.08610988</v>
      </c>
      <c r="AM33" s="73">
        <v>960933674.0489738</v>
      </c>
      <c r="AN33" s="73">
        <v>853965913</v>
      </c>
      <c r="AO33" s="73">
        <v>822387403.24000001</v>
      </c>
      <c r="AP33" s="73">
        <v>1356986998</v>
      </c>
      <c r="AR33" s="73">
        <v>547880268.05195403</v>
      </c>
      <c r="AS33" s="73">
        <v>1635490699.7126894</v>
      </c>
      <c r="AT33" s="73">
        <v>1092290174</v>
      </c>
      <c r="AU33" s="73">
        <v>874515722.15999997</v>
      </c>
      <c r="AV33" s="73">
        <v>1220437334</v>
      </c>
    </row>
    <row r="34" spans="2:48" x14ac:dyDescent="0.25">
      <c r="B34" s="82"/>
      <c r="C34" s="60" t="s">
        <v>70</v>
      </c>
      <c r="F34" s="107">
        <v>633899520.12181818</v>
      </c>
      <c r="H34" s="107">
        <v>1714105115.3990459</v>
      </c>
      <c r="I34" s="73">
        <v>592428273.44949162</v>
      </c>
      <c r="K34" s="73">
        <v>920662577.36682355</v>
      </c>
      <c r="L34" s="73">
        <v>-157222329.88999128</v>
      </c>
      <c r="M34" s="73">
        <v>735094850.37081027</v>
      </c>
      <c r="N34" s="73">
        <v>2090963371.2971342</v>
      </c>
      <c r="O34" s="73">
        <v>686501838.93046474</v>
      </c>
      <c r="P34" s="73">
        <v>745320704.18393922</v>
      </c>
      <c r="Q34" s="73">
        <v>1115457509.3278005</v>
      </c>
      <c r="R34" s="73">
        <v>249575770.817379</v>
      </c>
      <c r="S34" s="73">
        <v>2796855823.2595835</v>
      </c>
      <c r="T34" s="73">
        <v>1022283069.2447177</v>
      </c>
      <c r="U34" s="73">
        <v>1052726065.4158438</v>
      </c>
      <c r="V34" s="73">
        <v>187161678.16870165</v>
      </c>
      <c r="W34" s="73">
        <v>-669369075.52067327</v>
      </c>
      <c r="X34" s="73">
        <v>1592801737.3085899</v>
      </c>
      <c r="Y34" s="73">
        <v>1128491334.17379</v>
      </c>
      <c r="Z34" s="73">
        <v>608771621.34362793</v>
      </c>
      <c r="AA34" s="73">
        <v>-91192545.22213459</v>
      </c>
      <c r="AB34" s="73">
        <v>1367539818.6793156</v>
      </c>
      <c r="AC34" s="73">
        <v>3013610228.9745989</v>
      </c>
      <c r="AD34" s="73">
        <v>1669437999.5595608</v>
      </c>
      <c r="AE34" s="73">
        <v>1605594177.1254539</v>
      </c>
      <c r="AF34" s="73">
        <v>1070300026.1966486</v>
      </c>
      <c r="AG34" s="73">
        <v>-416422751.8816433</v>
      </c>
      <c r="AH34" s="73">
        <v>3928909451.00002</v>
      </c>
      <c r="AI34" s="73">
        <v>2075577438.4252427</v>
      </c>
      <c r="AJ34" s="73"/>
      <c r="AL34" s="73">
        <v>1513090850.8163152</v>
      </c>
      <c r="AM34" s="73">
        <v>1431822543.114404</v>
      </c>
      <c r="AN34" s="73">
        <v>2075009134.6605616</v>
      </c>
      <c r="AO34" s="73">
        <v>1737262955.5174179</v>
      </c>
      <c r="AP34" s="73">
        <v>3275032176.6850147</v>
      </c>
      <c r="AR34" s="73">
        <v>1355868520.9263239</v>
      </c>
      <c r="AS34" s="73">
        <v>2547280052.4422045</v>
      </c>
      <c r="AT34" s="73">
        <v>2262170812.8292632</v>
      </c>
      <c r="AU34" s="73">
        <v>1646070410.2952833</v>
      </c>
      <c r="AV34" s="73">
        <v>4345332202.8816633</v>
      </c>
    </row>
    <row r="35" spans="2:48" x14ac:dyDescent="0.25">
      <c r="C35" s="60" t="s">
        <v>71</v>
      </c>
      <c r="F35" s="107">
        <v>-18952175.780000001</v>
      </c>
      <c r="H35" s="107">
        <v>-41864181</v>
      </c>
      <c r="I35" s="73">
        <v>0</v>
      </c>
      <c r="K35" s="73">
        <v>0</v>
      </c>
      <c r="L35" s="73">
        <v>0</v>
      </c>
      <c r="M35" s="73">
        <v>28242968</v>
      </c>
      <c r="N35" s="73">
        <v>28242968</v>
      </c>
      <c r="O35" s="73">
        <v>0</v>
      </c>
      <c r="P35" s="73">
        <v>0</v>
      </c>
      <c r="Q35" s="73">
        <v>0</v>
      </c>
      <c r="R35" s="73">
        <v>-68814946</v>
      </c>
      <c r="S35" s="73">
        <v>-68814946</v>
      </c>
      <c r="T35" s="73">
        <v>0</v>
      </c>
      <c r="U35" s="73">
        <v>0</v>
      </c>
      <c r="V35" s="73">
        <v>0</v>
      </c>
      <c r="W35" s="73">
        <v>10792719.16</v>
      </c>
      <c r="X35" s="73">
        <v>10792719.16</v>
      </c>
      <c r="Y35" s="73">
        <v>0</v>
      </c>
      <c r="Z35" s="73">
        <v>0</v>
      </c>
      <c r="AA35" s="73">
        <v>0</v>
      </c>
      <c r="AB35" s="73">
        <v>0</v>
      </c>
      <c r="AC35" s="73">
        <v>0</v>
      </c>
      <c r="AD35" s="73">
        <v>0</v>
      </c>
      <c r="AE35" s="73">
        <v>0</v>
      </c>
      <c r="AF35" s="73">
        <v>0</v>
      </c>
      <c r="AG35" s="73">
        <v>0</v>
      </c>
      <c r="AH35" s="73">
        <v>0</v>
      </c>
      <c r="AI35" s="73">
        <v>0</v>
      </c>
      <c r="AJ35" s="73"/>
      <c r="AL35" s="73">
        <v>0</v>
      </c>
      <c r="AM35" s="73">
        <v>0</v>
      </c>
      <c r="AN35" s="73">
        <v>0</v>
      </c>
      <c r="AO35" s="73">
        <v>0</v>
      </c>
      <c r="AP35" s="73">
        <v>0</v>
      </c>
      <c r="AR35" s="73">
        <v>0</v>
      </c>
      <c r="AS35" s="73">
        <v>0</v>
      </c>
      <c r="AT35" s="73">
        <v>0</v>
      </c>
      <c r="AU35" s="73">
        <v>0</v>
      </c>
      <c r="AV35" s="73">
        <v>0</v>
      </c>
    </row>
    <row r="36" spans="2:48" ht="15" customHeight="1" thickBot="1" x14ac:dyDescent="0.3">
      <c r="B36" s="237" t="s">
        <v>270</v>
      </c>
      <c r="C36" s="234"/>
      <c r="D36" s="55"/>
      <c r="E36" s="55"/>
      <c r="F36" s="113">
        <v>3133513244.1074095</v>
      </c>
      <c r="G36" s="55"/>
      <c r="H36" s="113">
        <v>-2780630348.4679499</v>
      </c>
      <c r="I36" s="83">
        <f>I30-I33-I34</f>
        <v>324825261.08628094</v>
      </c>
      <c r="J36" s="55"/>
      <c r="K36" s="83">
        <v>-916962038.2924031</v>
      </c>
      <c r="L36" s="83">
        <v>-3501245475.9887867</v>
      </c>
      <c r="M36" s="83">
        <v>-3938635551.9921141</v>
      </c>
      <c r="N36" s="83">
        <v>-8031517805.1870251</v>
      </c>
      <c r="O36" s="83">
        <v>424672810.78958344</v>
      </c>
      <c r="P36" s="83">
        <v>-6614090551.1903477</v>
      </c>
      <c r="Q36" s="83">
        <v>-6383700152.5335007</v>
      </c>
      <c r="R36" s="83">
        <v>-3554321459.9947281</v>
      </c>
      <c r="S36" s="83">
        <v>-16128439352.928995</v>
      </c>
      <c r="T36" s="83">
        <v>-103807775.99790668</v>
      </c>
      <c r="U36" s="83">
        <v>-985868495.73367691</v>
      </c>
      <c r="V36" s="83">
        <v>-4012879938.0952401</v>
      </c>
      <c r="W36" s="83">
        <v>73594345.731247067</v>
      </c>
      <c r="X36" s="83">
        <v>-5028961864.0955906</v>
      </c>
      <c r="Y36" s="113">
        <v>2983137907.5525103</v>
      </c>
      <c r="Z36" s="113">
        <v>3770623000.6453953</v>
      </c>
      <c r="AA36" s="113">
        <v>-3215588184.7726579</v>
      </c>
      <c r="AB36" s="113">
        <v>609147379.97844672</v>
      </c>
      <c r="AC36" s="113">
        <v>4147320103.4037056</v>
      </c>
      <c r="AD36" s="113">
        <v>393742303.13435173</v>
      </c>
      <c r="AE36" s="113">
        <f>AE30-AE33-AE34-AE35</f>
        <v>4938787705.3930178</v>
      </c>
      <c r="AF36" s="113">
        <f>AF30-AF33-AF34-AF35</f>
        <v>-3879283901.1740561</v>
      </c>
      <c r="AG36" s="113">
        <f>AG30-AG33-AG34-AG35</f>
        <v>3136981404.4411564</v>
      </c>
      <c r="AH36" s="113">
        <f>AH30-AH33-AH34-AH35</f>
        <v>4591227511.6944437</v>
      </c>
      <c r="AI36" s="113">
        <f>AI30-AI33-AI34-AI35</f>
        <v>5131206602.9397135</v>
      </c>
      <c r="AJ36" s="78"/>
      <c r="AK36" s="55"/>
      <c r="AL36" s="83">
        <v>-591636777.20613003</v>
      </c>
      <c r="AM36" s="83">
        <v>-6189417740.4007587</v>
      </c>
      <c r="AN36" s="83">
        <v>-1089676271.7315912</v>
      </c>
      <c r="AO36" s="83">
        <v>6753760908.197916</v>
      </c>
      <c r="AP36" s="83">
        <f>SUM(AP33:AP35)</f>
        <v>4632019174.6850147</v>
      </c>
      <c r="AQ36" s="55"/>
      <c r="AR36" s="83">
        <v>-4092882253.1949129</v>
      </c>
      <c r="AS36" s="83">
        <v>-12573117892.934267</v>
      </c>
      <c r="AT36" s="83">
        <v>-5102556209.8268223</v>
      </c>
      <c r="AU36" s="83">
        <v>3538172723.4252596</v>
      </c>
      <c r="AV36" s="83">
        <v>1454246107.2533112</v>
      </c>
    </row>
    <row r="37" spans="2:48" ht="15.75" thickTop="1" x14ac:dyDescent="0.25">
      <c r="F37" s="107"/>
      <c r="H37" s="107"/>
      <c r="I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L37" s="74"/>
      <c r="AM37" s="74"/>
      <c r="AN37" s="74"/>
      <c r="AO37" s="74"/>
      <c r="AP37" s="74"/>
      <c r="AR37" s="74"/>
      <c r="AS37" s="74"/>
      <c r="AT37" s="74"/>
      <c r="AU37" s="74"/>
      <c r="AV37" s="74"/>
    </row>
    <row r="38" spans="2:48" x14ac:dyDescent="0.25">
      <c r="F38" s="107"/>
      <c r="H38" s="107"/>
      <c r="I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L38" s="74"/>
      <c r="AM38" s="74"/>
      <c r="AN38" s="74"/>
      <c r="AO38" s="74"/>
      <c r="AP38" s="74"/>
      <c r="AR38" s="74"/>
      <c r="AS38" s="74"/>
      <c r="AT38" s="74"/>
      <c r="AU38" s="74"/>
      <c r="AV38" s="74"/>
    </row>
    <row r="39" spans="2:48" x14ac:dyDescent="0.25">
      <c r="B39" s="242" t="s">
        <v>310</v>
      </c>
      <c r="C39" s="237"/>
      <c r="D39" s="45"/>
      <c r="E39" s="45"/>
      <c r="F39" s="107"/>
      <c r="G39" s="45"/>
      <c r="H39" s="107"/>
      <c r="I39" s="122"/>
      <c r="J39" s="45"/>
      <c r="K39" s="85"/>
      <c r="L39" s="122"/>
      <c r="M39" s="122"/>
      <c r="N39" s="85"/>
      <c r="O39" s="122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122"/>
      <c r="AK39" s="45"/>
      <c r="AL39" s="85"/>
      <c r="AM39" s="85"/>
      <c r="AN39" s="85"/>
      <c r="AO39" s="85"/>
      <c r="AP39" s="85"/>
      <c r="AQ39" s="45"/>
      <c r="AR39" s="85"/>
      <c r="AS39" s="85"/>
      <c r="AT39" s="85"/>
      <c r="AU39" s="85"/>
      <c r="AV39" s="85"/>
    </row>
    <row r="40" spans="2:48" ht="27.95" customHeight="1" x14ac:dyDescent="0.25">
      <c r="B40" s="241" t="s">
        <v>588</v>
      </c>
      <c r="C40" s="241"/>
      <c r="D40" s="84"/>
      <c r="E40" s="84"/>
      <c r="F40" s="114">
        <v>6.9673529828010841</v>
      </c>
      <c r="G40" s="84"/>
      <c r="H40" s="114">
        <v>-5.870672638670932</v>
      </c>
      <c r="I40" s="114">
        <v>0.47643613349629182</v>
      </c>
      <c r="J40" s="84"/>
      <c r="K40" s="85">
        <v>-2.1306933684062002</v>
      </c>
      <c r="L40" s="114">
        <v>-8.0172905038018936</v>
      </c>
      <c r="M40" s="114">
        <v>-9.82</v>
      </c>
      <c r="N40" s="85">
        <v>-16.155362926559665</v>
      </c>
      <c r="O40" s="85">
        <v>1.005860127003287</v>
      </c>
      <c r="P40" s="85">
        <v>-18.269310968176562</v>
      </c>
      <c r="Q40" s="85">
        <v>-15.102943196202725</v>
      </c>
      <c r="R40" s="85">
        <v>-8.7645635597039604</v>
      </c>
      <c r="S40" s="85">
        <v>-40.820324817662531</v>
      </c>
      <c r="T40" s="85">
        <v>-0.25892302909980208</v>
      </c>
      <c r="U40" s="85">
        <v>-2.2680979589023553</v>
      </c>
      <c r="V40" s="85">
        <v>-12.122234164394154</v>
      </c>
      <c r="W40" s="85">
        <v>0.30191927529386803</v>
      </c>
      <c r="X40" s="85">
        <v>-12.316843152007385</v>
      </c>
      <c r="Y40" s="85">
        <v>7.4095662765001213</v>
      </c>
      <c r="Z40" s="85">
        <v>9.3829984053864202</v>
      </c>
      <c r="AA40" s="85">
        <v>-8.2984926940319674</v>
      </c>
      <c r="AB40" s="85">
        <v>1.29670646614067</v>
      </c>
      <c r="AC40" s="85">
        <v>9.9421113824246383</v>
      </c>
      <c r="AD40" s="85">
        <v>0.24064981010627703</v>
      </c>
      <c r="AE40" s="85">
        <v>11.94</v>
      </c>
      <c r="AF40" s="85">
        <v>-9.4705067690541735</v>
      </c>
      <c r="AG40" s="85">
        <v>8.1999999999999993</v>
      </c>
      <c r="AH40" s="85">
        <v>10.916950942730061</v>
      </c>
      <c r="AI40" s="85">
        <v>13.945850307218938</v>
      </c>
      <c r="AJ40" s="114"/>
      <c r="AK40" s="84"/>
      <c r="AL40" s="85">
        <v>-1.6542572349099085</v>
      </c>
      <c r="AM40" s="85">
        <v>-17.263450841173274</v>
      </c>
      <c r="AN40" s="85">
        <v>-2.5270209880021572</v>
      </c>
      <c r="AO40" s="85">
        <v>16.772552252452709</v>
      </c>
      <c r="AP40" s="85">
        <v>12.185838147058238</v>
      </c>
      <c r="AQ40" s="84"/>
      <c r="AR40" s="85">
        <v>-9.6715477387118014</v>
      </c>
      <c r="AS40" s="85">
        <v>-32.356394037375999</v>
      </c>
      <c r="AT40" s="85">
        <v>-12.381157193493957</v>
      </c>
      <c r="AU40" s="85">
        <v>8.6329832865559517</v>
      </c>
      <c r="AV40" s="85">
        <v>2.7141848539776823</v>
      </c>
    </row>
    <row r="41" spans="2:48" hidden="1" x14ac:dyDescent="0.25">
      <c r="B41" s="241"/>
      <c r="C41" s="241"/>
      <c r="D41" s="84"/>
      <c r="E41" s="84"/>
      <c r="F41" s="85"/>
      <c r="G41" s="84"/>
      <c r="H41" s="85"/>
      <c r="I41" s="114"/>
      <c r="J41" s="84"/>
      <c r="K41" s="85"/>
      <c r="L41" s="114"/>
      <c r="M41" s="114"/>
      <c r="N41" s="85"/>
      <c r="O41" s="122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C41" s="60">
        <v>9.9183510050941202</v>
      </c>
      <c r="AG41" s="60">
        <v>8.11</v>
      </c>
      <c r="AH41" s="60">
        <v>10.916950942730061</v>
      </c>
      <c r="AI41" s="60">
        <v>10.916950942730061</v>
      </c>
      <c r="AJ41" s="114"/>
      <c r="AK41" s="84"/>
      <c r="AL41" s="85"/>
      <c r="AM41" s="85"/>
      <c r="AN41" s="85"/>
      <c r="AO41" s="85"/>
      <c r="AP41" s="85"/>
      <c r="AQ41" s="84"/>
      <c r="AR41" s="85"/>
      <c r="AS41" s="85"/>
      <c r="AT41" s="85"/>
      <c r="AU41" s="85"/>
    </row>
    <row r="42" spans="2:48" hidden="1" x14ac:dyDescent="0.25">
      <c r="B42" s="241"/>
      <c r="C42" s="241"/>
      <c r="D42" s="84"/>
      <c r="E42" s="84"/>
      <c r="F42" s="85"/>
      <c r="G42" s="84"/>
      <c r="H42" s="85"/>
      <c r="I42" s="114"/>
      <c r="J42" s="84"/>
      <c r="K42" s="85"/>
      <c r="L42" s="114"/>
      <c r="M42" s="114"/>
      <c r="N42" s="85"/>
      <c r="O42" s="122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114"/>
      <c r="AK42" s="84"/>
      <c r="AL42" s="85"/>
      <c r="AM42" s="85"/>
      <c r="AN42" s="85"/>
      <c r="AO42" s="85"/>
      <c r="AP42" s="85"/>
      <c r="AQ42" s="84"/>
      <c r="AR42" s="85"/>
      <c r="AS42" s="85"/>
      <c r="AT42" s="85"/>
      <c r="AU42" s="85"/>
    </row>
    <row r="43" spans="2:48" hidden="1" x14ac:dyDescent="0.25">
      <c r="B43" s="241"/>
      <c r="C43" s="241"/>
      <c r="D43" s="84"/>
      <c r="E43" s="84"/>
      <c r="F43" s="85"/>
      <c r="G43" s="84"/>
      <c r="H43" s="85"/>
      <c r="I43" s="114"/>
      <c r="J43" s="84"/>
      <c r="K43" s="85"/>
      <c r="L43" s="114"/>
      <c r="M43" s="114"/>
      <c r="N43" s="85"/>
      <c r="O43" s="122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114"/>
      <c r="AK43" s="84"/>
      <c r="AL43" s="85"/>
      <c r="AM43" s="85"/>
      <c r="AN43" s="85"/>
      <c r="AO43" s="85"/>
      <c r="AP43" s="85"/>
      <c r="AQ43" s="84"/>
      <c r="AR43" s="85"/>
      <c r="AS43" s="85"/>
      <c r="AT43" s="85"/>
      <c r="AU43" s="85"/>
    </row>
    <row r="44" spans="2:48" hidden="1" x14ac:dyDescent="0.25">
      <c r="B44" s="241"/>
      <c r="C44" s="241"/>
      <c r="D44" s="84"/>
      <c r="E44" s="84"/>
      <c r="F44" s="85"/>
      <c r="G44" s="84"/>
      <c r="H44" s="85"/>
      <c r="I44" s="114"/>
      <c r="J44" s="84"/>
      <c r="K44" s="85"/>
      <c r="L44" s="114"/>
      <c r="M44" s="114"/>
      <c r="N44" s="85"/>
      <c r="O44" s="122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114"/>
      <c r="AK44" s="84"/>
      <c r="AL44" s="85"/>
      <c r="AM44" s="85"/>
      <c r="AN44" s="85"/>
      <c r="AO44" s="85"/>
      <c r="AP44" s="85"/>
      <c r="AQ44" s="84"/>
      <c r="AR44" s="85"/>
      <c r="AS44" s="85"/>
      <c r="AT44" s="85"/>
      <c r="AU44" s="85"/>
    </row>
    <row r="45" spans="2:48" ht="27.95" customHeight="1" x14ac:dyDescent="0.25">
      <c r="B45" s="241" t="s">
        <v>589</v>
      </c>
      <c r="C45" s="241"/>
      <c r="D45" s="84"/>
      <c r="E45" s="84"/>
      <c r="F45" s="114">
        <v>6.9673529828010841</v>
      </c>
      <c r="G45" s="84"/>
      <c r="H45" s="114">
        <v>-5.870672638670932</v>
      </c>
      <c r="I45" s="114">
        <v>0.47643613349629182</v>
      </c>
      <c r="J45" s="84"/>
      <c r="K45" s="85">
        <v>-2.1306933684062002</v>
      </c>
      <c r="L45" s="114">
        <v>-8.0172905038018936</v>
      </c>
      <c r="M45" s="114">
        <v>-9.82</v>
      </c>
      <c r="N45" s="85">
        <v>-16.155362926559665</v>
      </c>
      <c r="O45" s="85">
        <v>1.005860127003287</v>
      </c>
      <c r="P45" s="85">
        <v>-18.269310968176562</v>
      </c>
      <c r="Q45" s="85">
        <v>-15.102943196202725</v>
      </c>
      <c r="R45" s="85">
        <v>-8.7645635597039604</v>
      </c>
      <c r="S45" s="85">
        <v>-40.820324817662531</v>
      </c>
      <c r="T45" s="85">
        <v>-0.25892302909980208</v>
      </c>
      <c r="U45" s="85">
        <v>-2.2680979589023553</v>
      </c>
      <c r="V45" s="85">
        <v>-12.122234164394154</v>
      </c>
      <c r="W45" s="85">
        <f>W40</f>
        <v>0.30191927529386803</v>
      </c>
      <c r="X45" s="85">
        <f>X40</f>
        <v>-12.316843152007385</v>
      </c>
      <c r="Y45" s="85">
        <v>7.4095662765001213</v>
      </c>
      <c r="Z45" s="85">
        <v>9.3829984053864202</v>
      </c>
      <c r="AA45" s="85">
        <v>-8.2984926940319674</v>
      </c>
      <c r="AB45" s="85">
        <v>1.2878543869291701</v>
      </c>
      <c r="AC45" s="85">
        <v>9.9183510050941202</v>
      </c>
      <c r="AD45" s="85">
        <v>0.24064981010627703</v>
      </c>
      <c r="AE45" s="85">
        <v>11.87</v>
      </c>
      <c r="AF45" s="85">
        <v>-9.401736283307514</v>
      </c>
      <c r="AG45" s="85">
        <v>10.813908662466376</v>
      </c>
      <c r="AH45" s="85">
        <v>10.813908662466376</v>
      </c>
      <c r="AI45" s="85">
        <v>13.738259826160114</v>
      </c>
      <c r="AJ45" s="114"/>
      <c r="AK45" s="84"/>
      <c r="AL45" s="85">
        <v>-1.6542572349099085</v>
      </c>
      <c r="AM45" s="85">
        <v>-17.263450841173274</v>
      </c>
      <c r="AN45" s="85">
        <v>-2.5270209880021572</v>
      </c>
      <c r="AO45" s="85">
        <v>16.772552252452709</v>
      </c>
      <c r="AP45" s="85">
        <v>12.099585593178171</v>
      </c>
      <c r="AQ45" s="84"/>
      <c r="AR45" s="85">
        <f t="shared" ref="AR45:AT45" si="0">AR40</f>
        <v>-9.6715477387118014</v>
      </c>
      <c r="AS45" s="85">
        <f t="shared" si="0"/>
        <v>-32.356394037375999</v>
      </c>
      <c r="AT45" s="85">
        <f t="shared" si="0"/>
        <v>-12.381157193493957</v>
      </c>
      <c r="AU45" s="85">
        <f>AU40</f>
        <v>8.6329832865559517</v>
      </c>
      <c r="AV45" s="85">
        <v>2.69</v>
      </c>
    </row>
    <row r="46" spans="2:48" x14ac:dyDescent="0.25">
      <c r="K46" s="126"/>
      <c r="P46" s="126"/>
      <c r="Q46" s="126"/>
      <c r="R46" s="126"/>
      <c r="S46" s="126"/>
      <c r="T46" s="126"/>
      <c r="U46" s="126"/>
      <c r="V46" s="126"/>
      <c r="W46" s="126"/>
    </row>
    <row r="48" spans="2:48" x14ac:dyDescent="0.25">
      <c r="P48" s="126"/>
      <c r="Q48" s="126"/>
      <c r="R48" s="126"/>
      <c r="S48" s="126"/>
      <c r="T48" s="126"/>
      <c r="U48" s="126"/>
      <c r="V48" s="126"/>
      <c r="W48" s="126"/>
    </row>
  </sheetData>
  <mergeCells count="21">
    <mergeCell ref="B36:C36"/>
    <mergeCell ref="B22:C22"/>
    <mergeCell ref="B15:C15"/>
    <mergeCell ref="B17:C17"/>
    <mergeCell ref="B18:C18"/>
    <mergeCell ref="B26:C26"/>
    <mergeCell ref="B28:C28"/>
    <mergeCell ref="B30:C30"/>
    <mergeCell ref="B32:C32"/>
    <mergeCell ref="B8:C8"/>
    <mergeCell ref="B9:C9"/>
    <mergeCell ref="B20:C20"/>
    <mergeCell ref="B21:C21"/>
    <mergeCell ref="B23:C23"/>
    <mergeCell ref="B45:C45"/>
    <mergeCell ref="B44:C44"/>
    <mergeCell ref="B39:C39"/>
    <mergeCell ref="B40:C40"/>
    <mergeCell ref="B41:C41"/>
    <mergeCell ref="B42:C42"/>
    <mergeCell ref="B43:C43"/>
  </mergeCells>
  <pageMargins left="0.7" right="0.7" top="0.75" bottom="0.75" header="0.3" footer="0.3"/>
  <pageSetup orientation="portrait" horizontalDpi="300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G94"/>
  <sheetViews>
    <sheetView showGridLines="0" zoomScale="70" zoomScaleNormal="70" workbookViewId="0">
      <pane xSplit="5" ySplit="5" topLeftCell="AO62" activePane="bottomRight" state="frozen"/>
      <selection activeCell="C211" sqref="C211"/>
      <selection pane="topRight" activeCell="C211" sqref="C211"/>
      <selection pane="bottomLeft" activeCell="C211" sqref="C211"/>
      <selection pane="bottomRight" activeCell="AS81" sqref="AS81"/>
    </sheetView>
  </sheetViews>
  <sheetFormatPr defaultColWidth="9.140625" defaultRowHeight="15" x14ac:dyDescent="0.25"/>
  <cols>
    <col min="1" max="1" width="1.85546875" style="40" customWidth="1"/>
    <col min="2" max="2" width="49.85546875" style="60" customWidth="1"/>
    <col min="3" max="3" width="8.28515625" style="60" customWidth="1"/>
    <col min="4" max="4" width="2.42578125" style="60" customWidth="1"/>
    <col min="5" max="5" width="12.140625" style="15" customWidth="1"/>
    <col min="6" max="7" width="0.85546875" style="15" customWidth="1"/>
    <col min="8" max="11" width="12" style="15" customWidth="1"/>
    <col min="12" max="16" width="12" style="15" hidden="1" customWidth="1"/>
    <col min="17" max="22" width="20.7109375" style="15" customWidth="1"/>
    <col min="23" max="24" width="0.85546875" style="124" customWidth="1"/>
    <col min="25" max="40" width="20.7109375" style="15" customWidth="1"/>
    <col min="41" max="41" width="22.5703125" style="15" customWidth="1"/>
    <col min="42" max="42" width="21.42578125" style="15" customWidth="1"/>
    <col min="43" max="45" width="20.7109375" style="15" customWidth="1"/>
    <col min="46" max="46" width="20.140625" style="15" customWidth="1"/>
    <col min="47" max="47" width="8.28515625" style="15" customWidth="1"/>
    <col min="48" max="48" width="0.85546875" style="15" customWidth="1"/>
    <col min="49" max="51" width="20.7109375" style="15" customWidth="1"/>
    <col min="52" max="52" width="26.42578125" style="40" customWidth="1"/>
    <col min="53" max="53" width="23.140625" style="40" customWidth="1"/>
    <col min="54" max="54" width="9.140625" style="40" customWidth="1"/>
    <col min="55" max="58" width="20.7109375" style="15" customWidth="1"/>
    <col min="59" max="59" width="17.42578125" customWidth="1"/>
    <col min="60" max="16384" width="9.140625" style="40"/>
  </cols>
  <sheetData>
    <row r="1" spans="1:59" x14ac:dyDescent="0.25">
      <c r="B1" s="42" t="s">
        <v>254</v>
      </c>
      <c r="S1" s="125">
        <f t="shared" ref="S1:X1" si="0">S84-S92</f>
        <v>478815.25605392456</v>
      </c>
      <c r="T1" s="125">
        <f t="shared" si="0"/>
        <v>34827.101685523987</v>
      </c>
      <c r="U1" s="125">
        <f t="shared" si="0"/>
        <v>-6878.7129020690918</v>
      </c>
      <c r="V1" s="125">
        <f t="shared" si="0"/>
        <v>-328943.73834609985</v>
      </c>
      <c r="W1" s="125">
        <f t="shared" si="0"/>
        <v>0</v>
      </c>
      <c r="X1" s="125">
        <f t="shared" si="0"/>
        <v>0</v>
      </c>
      <c r="Z1" s="125">
        <f>Z84-Z92</f>
        <v>-24726.977769851685</v>
      </c>
      <c r="AA1" s="125">
        <f>AA84-AA92</f>
        <v>213311.77910995483</v>
      </c>
      <c r="AB1" s="125">
        <f t="shared" ref="AB1:AC1" si="1">AB84-AB92</f>
        <v>267050.99048614502</v>
      </c>
      <c r="AC1" s="125">
        <f t="shared" si="1"/>
        <v>-386995.31211090088</v>
      </c>
    </row>
    <row r="2" spans="1:59" s="60" customFormat="1" x14ac:dyDescent="0.25">
      <c r="A2" s="48"/>
      <c r="B2" s="102" t="s">
        <v>298</v>
      </c>
      <c r="C2" s="42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S2" s="46"/>
      <c r="T2" s="46"/>
      <c r="U2" s="46"/>
      <c r="V2" s="46"/>
      <c r="W2" s="46"/>
      <c r="X2" s="46"/>
      <c r="Z2" s="46"/>
      <c r="AA2" s="46"/>
      <c r="AB2" s="46"/>
      <c r="AC2" s="46"/>
      <c r="AI2" s="46"/>
      <c r="AV2" s="46"/>
      <c r="AW2" s="46"/>
      <c r="AX2" s="46"/>
      <c r="AY2" s="46"/>
      <c r="BC2" s="46"/>
      <c r="BD2" s="46"/>
      <c r="BE2" s="46"/>
      <c r="BF2" s="46"/>
    </row>
    <row r="3" spans="1:59" s="60" customFormat="1" x14ac:dyDescent="0.25">
      <c r="A3" s="48"/>
      <c r="B3" s="70" t="s">
        <v>0</v>
      </c>
      <c r="C3" s="70"/>
      <c r="Q3" s="106"/>
      <c r="R3" s="106"/>
      <c r="Y3" s="106"/>
      <c r="AD3" s="106"/>
      <c r="AE3" s="106"/>
      <c r="AF3" s="106"/>
      <c r="AG3" s="106"/>
      <c r="AH3" s="106"/>
      <c r="AJ3" s="106"/>
      <c r="AK3" s="106"/>
      <c r="AL3" s="106"/>
      <c r="AM3" s="106"/>
      <c r="AN3" s="106"/>
      <c r="AO3" s="106"/>
      <c r="AP3" s="106"/>
      <c r="AQ3" s="106"/>
      <c r="AR3" s="106"/>
      <c r="AS3" s="106"/>
      <c r="AT3" s="106"/>
      <c r="AU3" s="106"/>
    </row>
    <row r="4" spans="1:59" s="60" customFormat="1" x14ac:dyDescent="0.25">
      <c r="A4" s="48"/>
      <c r="B4" s="127">
        <v>1</v>
      </c>
      <c r="C4" s="127">
        <f>B4+1</f>
        <v>2</v>
      </c>
      <c r="D4" s="127">
        <f t="shared" ref="D4:E4" si="2">C4+1</f>
        <v>3</v>
      </c>
      <c r="E4" s="127">
        <f t="shared" si="2"/>
        <v>4</v>
      </c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BC4" s="127"/>
      <c r="BD4" s="127"/>
      <c r="BE4" s="127"/>
      <c r="BF4" s="127"/>
    </row>
    <row r="5" spans="1:59" s="60" customFormat="1" ht="57" x14ac:dyDescent="0.25">
      <c r="A5" s="48"/>
      <c r="B5" s="100"/>
      <c r="C5" s="100"/>
      <c r="D5" s="100"/>
      <c r="E5" s="100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1" t="s">
        <v>394</v>
      </c>
      <c r="R5" s="101" t="s">
        <v>395</v>
      </c>
      <c r="S5" s="104" t="s">
        <v>307</v>
      </c>
      <c r="T5" s="104" t="s">
        <v>297</v>
      </c>
      <c r="U5" s="104" t="s">
        <v>302</v>
      </c>
      <c r="V5" s="104" t="s">
        <v>304</v>
      </c>
      <c r="W5" s="104"/>
      <c r="X5" s="104"/>
      <c r="Y5" s="101" t="s">
        <v>396</v>
      </c>
      <c r="Z5" s="104" t="s">
        <v>306</v>
      </c>
      <c r="AA5" s="104" t="s">
        <v>299</v>
      </c>
      <c r="AB5" s="104" t="s">
        <v>316</v>
      </c>
      <c r="AC5" s="104" t="s">
        <v>356</v>
      </c>
      <c r="AD5" s="101" t="s">
        <v>397</v>
      </c>
      <c r="AE5" s="101" t="s">
        <v>363</v>
      </c>
      <c r="AF5" s="101" t="s">
        <v>383</v>
      </c>
      <c r="AG5" s="101" t="s">
        <v>410</v>
      </c>
      <c r="AH5" s="101" t="s">
        <v>411</v>
      </c>
      <c r="AI5" s="104" t="s">
        <v>412</v>
      </c>
      <c r="AJ5" s="101" t="s">
        <v>488</v>
      </c>
      <c r="AK5" s="101" t="s">
        <v>517</v>
      </c>
      <c r="AL5" s="101" t="s">
        <v>527</v>
      </c>
      <c r="AM5" s="101" t="s">
        <v>543</v>
      </c>
      <c r="AN5" s="104" t="s">
        <v>541</v>
      </c>
      <c r="AO5" s="101" t="s">
        <v>554</v>
      </c>
      <c r="AP5" s="101" t="s">
        <v>572</v>
      </c>
      <c r="AQ5" s="101" t="s">
        <v>579</v>
      </c>
      <c r="AR5" s="101" t="s">
        <v>586</v>
      </c>
      <c r="AS5" s="232" t="s">
        <v>582</v>
      </c>
      <c r="AT5" s="101" t="s">
        <v>592</v>
      </c>
      <c r="AU5" s="232"/>
      <c r="AV5" s="105"/>
      <c r="AW5" s="104" t="s">
        <v>286</v>
      </c>
      <c r="AX5" s="104" t="s">
        <v>285</v>
      </c>
      <c r="AY5" s="104" t="s">
        <v>384</v>
      </c>
      <c r="AZ5" s="104" t="s">
        <v>516</v>
      </c>
      <c r="BA5" s="104" t="s">
        <v>573</v>
      </c>
      <c r="BC5" s="104" t="s">
        <v>315</v>
      </c>
      <c r="BD5" s="104" t="s">
        <v>314</v>
      </c>
      <c r="BE5" s="104" t="s">
        <v>409</v>
      </c>
      <c r="BF5" s="104" t="s">
        <v>526</v>
      </c>
      <c r="BG5" s="104" t="s">
        <v>576</v>
      </c>
    </row>
    <row r="6" spans="1:59" s="60" customFormat="1" x14ac:dyDescent="0.2">
      <c r="A6" s="48"/>
      <c r="B6" s="100"/>
      <c r="C6" s="100"/>
      <c r="D6" s="100"/>
      <c r="E6" s="100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118" t="s">
        <v>252</v>
      </c>
      <c r="R6" s="118" t="s">
        <v>252</v>
      </c>
      <c r="S6" s="118" t="s">
        <v>251</v>
      </c>
      <c r="T6" s="118" t="s">
        <v>251</v>
      </c>
      <c r="U6" s="118" t="s">
        <v>251</v>
      </c>
      <c r="V6" s="118" t="s">
        <v>251</v>
      </c>
      <c r="W6" s="123"/>
      <c r="X6" s="123"/>
      <c r="Y6" s="118" t="s">
        <v>252</v>
      </c>
      <c r="Z6" s="118" t="s">
        <v>251</v>
      </c>
      <c r="AA6" s="118" t="s">
        <v>251</v>
      </c>
      <c r="AB6" s="118" t="s">
        <v>251</v>
      </c>
      <c r="AC6" s="118" t="s">
        <v>251</v>
      </c>
      <c r="AD6" s="118" t="s">
        <v>251</v>
      </c>
      <c r="AE6" s="118" t="s">
        <v>251</v>
      </c>
      <c r="AF6" s="118" t="s">
        <v>251</v>
      </c>
      <c r="AG6" s="118" t="s">
        <v>251</v>
      </c>
      <c r="AH6" s="118" t="s">
        <v>251</v>
      </c>
      <c r="AI6" s="118" t="s">
        <v>252</v>
      </c>
      <c r="AJ6" s="118" t="s">
        <v>251</v>
      </c>
      <c r="AK6" s="118" t="s">
        <v>251</v>
      </c>
      <c r="AL6" s="118" t="s">
        <v>251</v>
      </c>
      <c r="AM6" s="118" t="s">
        <v>251</v>
      </c>
      <c r="AN6" s="118" t="s">
        <v>252</v>
      </c>
      <c r="AO6" s="118" t="s">
        <v>251</v>
      </c>
      <c r="AP6" s="118" t="s">
        <v>251</v>
      </c>
      <c r="AQ6" s="118" t="s">
        <v>251</v>
      </c>
      <c r="AR6" s="118" t="s">
        <v>251</v>
      </c>
      <c r="AS6" s="118" t="s">
        <v>252</v>
      </c>
      <c r="AT6" s="118" t="s">
        <v>251</v>
      </c>
      <c r="AU6" s="123"/>
      <c r="AV6" s="72"/>
      <c r="AW6" s="118" t="s">
        <v>251</v>
      </c>
      <c r="AX6" s="118" t="s">
        <v>251</v>
      </c>
      <c r="AY6" s="118" t="s">
        <v>251</v>
      </c>
      <c r="AZ6" s="118" t="s">
        <v>251</v>
      </c>
      <c r="BA6" s="118" t="s">
        <v>251</v>
      </c>
      <c r="BC6" s="118" t="s">
        <v>251</v>
      </c>
      <c r="BD6" s="118" t="s">
        <v>251</v>
      </c>
      <c r="BE6" s="118" t="s">
        <v>251</v>
      </c>
      <c r="BF6" s="118" t="s">
        <v>251</v>
      </c>
      <c r="BG6" s="118" t="s">
        <v>251</v>
      </c>
    </row>
    <row r="7" spans="1:59" x14ac:dyDescent="0.25">
      <c r="B7" s="87"/>
      <c r="C7" s="87"/>
      <c r="D7" s="87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75"/>
      <c r="R7" s="75"/>
      <c r="S7" s="40"/>
      <c r="T7" s="40"/>
      <c r="U7" s="40"/>
      <c r="V7" s="40"/>
      <c r="W7" s="40"/>
      <c r="X7" s="40"/>
      <c r="Y7" s="75"/>
      <c r="Z7" s="40"/>
      <c r="AA7" s="40"/>
      <c r="AB7" s="40"/>
      <c r="AC7" s="40"/>
      <c r="AD7" s="75"/>
      <c r="AE7" s="75"/>
      <c r="AF7" s="75"/>
      <c r="AG7" s="75"/>
      <c r="AH7" s="75"/>
      <c r="AI7" s="40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40"/>
      <c r="AW7" s="40"/>
      <c r="AX7" s="40"/>
      <c r="AY7" s="40"/>
      <c r="BC7" s="40"/>
      <c r="BD7" s="40"/>
      <c r="BE7" s="40"/>
      <c r="BF7" s="40"/>
      <c r="BG7" s="40"/>
    </row>
    <row r="8" spans="1:59" x14ac:dyDescent="0.25">
      <c r="B8" s="87" t="s">
        <v>72</v>
      </c>
      <c r="C8" s="87"/>
      <c r="D8" s="87"/>
      <c r="Q8" s="16"/>
      <c r="R8" s="16"/>
      <c r="Y8" s="16"/>
      <c r="AD8" s="16"/>
      <c r="AE8" s="16"/>
      <c r="AF8" s="16"/>
      <c r="AG8" s="16"/>
      <c r="AH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Z8" s="15"/>
      <c r="BA8" s="15"/>
      <c r="BG8" s="15"/>
    </row>
    <row r="9" spans="1:59" x14ac:dyDescent="0.25">
      <c r="B9" s="88" t="s">
        <v>67</v>
      </c>
      <c r="C9" s="88"/>
      <c r="D9" s="88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>
        <v>4935119994.2272778</v>
      </c>
      <c r="R9" s="17">
        <v>-623158473.23880005</v>
      </c>
      <c r="S9" s="17">
        <v>1160686745.3318701</v>
      </c>
      <c r="T9" s="17">
        <v>346464084.36442494</v>
      </c>
      <c r="U9" s="17">
        <v>-3696284293.9129295</v>
      </c>
      <c r="V9" s="17">
        <v>-2939270101.6732559</v>
      </c>
      <c r="W9" s="17"/>
      <c r="X9" s="17"/>
      <c r="Y9" s="17">
        <v>-5128403565.8898907</v>
      </c>
      <c r="Z9" s="17">
        <v>1484720938.5144539</v>
      </c>
      <c r="AA9" s="17">
        <v>-5281382461.7518349</v>
      </c>
      <c r="AB9" s="17">
        <v>-4594685617.5419922</v>
      </c>
      <c r="AC9" s="17">
        <v>-3840945020.2600403</v>
      </c>
      <c r="AD9" s="17">
        <v>-12233292161.039413</v>
      </c>
      <c r="AE9" s="17">
        <v>1277492173.2468109</v>
      </c>
      <c r="AF9" s="17">
        <v>561806602.68215942</v>
      </c>
      <c r="AG9" s="17">
        <v>-3588393998.9265289</v>
      </c>
      <c r="AH9" s="17">
        <v>-721131597.62944174</v>
      </c>
      <c r="AI9" s="17">
        <v>-2470226820.6270003</v>
      </c>
      <c r="AJ9" s="17">
        <v>4594316062.7263002</v>
      </c>
      <c r="AK9" s="17">
        <v>4719095204.2290335</v>
      </c>
      <c r="AL9" s="17">
        <v>-3253652411.074791</v>
      </c>
      <c r="AM9" s="17">
        <v>2083382353.6973047</v>
      </c>
      <c r="AN9" s="17">
        <v>8142141209.6973047</v>
      </c>
      <c r="AO9" s="17">
        <v>2490010316.6939125</v>
      </c>
      <c r="AP9" s="17">
        <v>7474538866.4184628</v>
      </c>
      <c r="AQ9" s="17">
        <v>-2945533538.9773989</v>
      </c>
      <c r="AR9" s="17">
        <v>3014727416.0294695</v>
      </c>
      <c r="AS9" s="17">
        <v>10033743060.164444</v>
      </c>
      <c r="AT9" s="17">
        <v>7730956113.3649559</v>
      </c>
      <c r="AU9" s="17"/>
      <c r="AV9" s="17"/>
      <c r="AW9" s="17">
        <v>1507150829.696295</v>
      </c>
      <c r="AX9" s="17">
        <v>-3795661523.237381</v>
      </c>
      <c r="AY9" s="17">
        <v>1839298775.9289703</v>
      </c>
      <c r="AZ9" s="17">
        <v>9313411266.9553337</v>
      </c>
      <c r="BA9" s="17">
        <v>9964549183.1123734</v>
      </c>
      <c r="BC9" s="17">
        <v>-2189133464.2166348</v>
      </c>
      <c r="BD9" s="17">
        <v>-8391347140.7793732</v>
      </c>
      <c r="BE9" s="17">
        <v>-1749095222.9975586</v>
      </c>
      <c r="BF9" s="17">
        <v>6058758855.8805428</v>
      </c>
      <c r="BG9" s="17">
        <v>7019015644.1349745</v>
      </c>
    </row>
    <row r="10" spans="1:59" x14ac:dyDescent="0.25">
      <c r="B10" s="89" t="s">
        <v>73</v>
      </c>
      <c r="C10" s="90"/>
      <c r="D10" s="90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7">
        <v>36292619662.648155</v>
      </c>
      <c r="R10" s="17">
        <v>44216302917.72068</v>
      </c>
      <c r="S10" s="17">
        <v>11876929112.237354</v>
      </c>
      <c r="T10" s="17">
        <v>11939415413.414967</v>
      </c>
      <c r="U10" s="17">
        <v>11885531134.339336</v>
      </c>
      <c r="V10" s="17">
        <v>11823185950.266472</v>
      </c>
      <c r="W10" s="17">
        <v>0</v>
      </c>
      <c r="X10" s="17">
        <v>0</v>
      </c>
      <c r="Y10" s="17">
        <v>47525976773.748131</v>
      </c>
      <c r="Z10" s="17">
        <v>12230593420.448084</v>
      </c>
      <c r="AA10" s="17">
        <f>20384131746.102+10^6</f>
        <v>20385131746.102001</v>
      </c>
      <c r="AB10" s="17">
        <v>14761699465.065603</v>
      </c>
      <c r="AC10" s="17">
        <v>15651139601.529322</v>
      </c>
      <c r="AD10" s="17">
        <v>63029564233.145027</v>
      </c>
      <c r="AE10" s="17">
        <f>18637475553.0323-10^6</f>
        <v>18636475553.032299</v>
      </c>
      <c r="AF10" s="17">
        <f>17182381972.7767+10^6</f>
        <v>17183381972.776699</v>
      </c>
      <c r="AG10" s="17">
        <v>15330888039.720247</v>
      </c>
      <c r="AH10" s="17">
        <v>13204103925.765678</v>
      </c>
      <c r="AI10" s="17">
        <v>64354849491.294907</v>
      </c>
      <c r="AJ10" s="17">
        <v>13834705441.449291</v>
      </c>
      <c r="AK10" s="17">
        <f>17176*10^6</f>
        <v>17176000000</v>
      </c>
      <c r="AL10" s="17">
        <v>15715331386.562099</v>
      </c>
      <c r="AM10" s="17">
        <v>12197694822.396988</v>
      </c>
      <c r="AN10" s="17">
        <v>58922813460.368034</v>
      </c>
      <c r="AO10" s="17">
        <f>16276673578.072+10^6</f>
        <v>16277673578.072001</v>
      </c>
      <c r="AP10" s="17">
        <f>16107*10^6</f>
        <v>16107000000</v>
      </c>
      <c r="AQ10" s="17">
        <f>15909*10^6</f>
        <v>15909000000</v>
      </c>
      <c r="AR10" s="17">
        <v>17105002019.145</v>
      </c>
      <c r="AS10" s="17">
        <v>65398239814.072388</v>
      </c>
      <c r="AT10" s="17">
        <v>19716599058.448792</v>
      </c>
      <c r="AU10" s="17"/>
      <c r="AV10" s="18"/>
      <c r="AW10" s="17">
        <v>23818344525.652321</v>
      </c>
      <c r="AX10" s="17">
        <v>32615725166.550106</v>
      </c>
      <c r="AY10" s="17">
        <f>35819857525.809-10^6</f>
        <v>35818857525.808998</v>
      </c>
      <c r="AZ10" s="17">
        <f>31011*10^6</f>
        <v>31011000000</v>
      </c>
      <c r="BA10" s="17">
        <f>32385*10^6</f>
        <v>32385000000</v>
      </c>
      <c r="BC10" s="17">
        <v>35701875659.991653</v>
      </c>
      <c r="BD10" s="17">
        <v>47377424631.615715</v>
      </c>
      <c r="BE10" s="17">
        <v>51149745565.529243</v>
      </c>
      <c r="BF10" s="17">
        <v>46726889143.535004</v>
      </c>
      <c r="BG10" s="17">
        <v>48297237794.927399</v>
      </c>
    </row>
    <row r="11" spans="1:59" x14ac:dyDescent="0.25">
      <c r="B11" s="93" t="s">
        <v>74</v>
      </c>
      <c r="C11" s="94"/>
      <c r="D11" s="94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Y11" s="17"/>
      <c r="AD11" s="17"/>
      <c r="AE11" s="17"/>
      <c r="AF11" s="17"/>
      <c r="AG11" s="17"/>
      <c r="AH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Z11" s="15"/>
      <c r="BA11" s="15"/>
      <c r="BG11" s="15"/>
    </row>
    <row r="12" spans="1:59" x14ac:dyDescent="0.25">
      <c r="B12" s="91" t="s">
        <v>271</v>
      </c>
      <c r="C12" s="88"/>
      <c r="D12" s="88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>
        <v>-5798031335.2108831</v>
      </c>
      <c r="R12" s="17">
        <v>-6820430137.1480026</v>
      </c>
      <c r="S12" s="17">
        <v>-6285154923.4895153</v>
      </c>
      <c r="T12" s="17">
        <v>-3045299742.7924833</v>
      </c>
      <c r="U12" s="17">
        <v>-953692778.03740215</v>
      </c>
      <c r="V12" s="17">
        <v>-706844882.51258469</v>
      </c>
      <c r="W12" s="17">
        <v>0</v>
      </c>
      <c r="X12" s="17">
        <v>0</v>
      </c>
      <c r="Y12" s="17">
        <v>-10990992326.831985</v>
      </c>
      <c r="Z12" s="17">
        <v>-7593142699.5700245</v>
      </c>
      <c r="AA12" s="17">
        <v>-9442163759.7299805</v>
      </c>
      <c r="AB12" s="17">
        <v>2390444741.9149013</v>
      </c>
      <c r="AC12" s="17">
        <v>4913304926.3927135</v>
      </c>
      <c r="AD12" s="17">
        <v>-9731556790.9923763</v>
      </c>
      <c r="AE12" s="17">
        <v>-8380816347.5300369</v>
      </c>
      <c r="AF12" s="17">
        <v>4880960934.846468</v>
      </c>
      <c r="AG12" s="17">
        <v>10987313780.057903</v>
      </c>
      <c r="AH12" s="17">
        <v>8097776095.9447594</v>
      </c>
      <c r="AI12" s="17">
        <v>14455234463.319094</v>
      </c>
      <c r="AJ12" s="17">
        <v>1168464709.6116247</v>
      </c>
      <c r="AK12" s="17">
        <v>336521736.34374881</v>
      </c>
      <c r="AL12" s="17">
        <v>5331565615.9117918</v>
      </c>
      <c r="AM12" s="17">
        <v>1183491661.9474125</v>
      </c>
      <c r="AN12" s="17">
        <v>8020043723.9474125</v>
      </c>
      <c r="AO12" s="17">
        <v>-3209991118.363121</v>
      </c>
      <c r="AP12" s="17">
        <v>-2406674619.0953016</v>
      </c>
      <c r="AQ12" s="17">
        <v>4261461884.8968253</v>
      </c>
      <c r="AR12" s="195">
        <v>-443870405.55710077</v>
      </c>
      <c r="AS12" s="17">
        <v>-3082247040.6064024</v>
      </c>
      <c r="AT12" s="17">
        <v>-5465939917.7558823</v>
      </c>
      <c r="AU12" s="17"/>
      <c r="AV12" s="17"/>
      <c r="AW12" s="17">
        <v>-9330454666.2819977</v>
      </c>
      <c r="AX12" s="17">
        <v>-17034306459.299992</v>
      </c>
      <c r="AY12" s="17">
        <v>-3499855412.6835694</v>
      </c>
      <c r="AZ12" s="17">
        <v>1504986445.9553735</v>
      </c>
      <c r="BA12" s="17">
        <v>-5616665737.4584227</v>
      </c>
      <c r="BC12" s="17">
        <v>-10284147444.319401</v>
      </c>
      <c r="BD12" s="17">
        <v>-14644861717.38509</v>
      </c>
      <c r="BE12" s="17">
        <v>6385458367.3743343</v>
      </c>
      <c r="BF12" s="17">
        <v>6836552061.8671656</v>
      </c>
      <c r="BG12" s="17">
        <v>-1356203852.5615973</v>
      </c>
    </row>
    <row r="13" spans="1:59" x14ac:dyDescent="0.25">
      <c r="B13" s="91" t="s">
        <v>272</v>
      </c>
      <c r="C13" s="88"/>
      <c r="D13" s="88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>
        <v>-565291557.40999913</v>
      </c>
      <c r="R13" s="17">
        <v>109574068.65999961</v>
      </c>
      <c r="S13" s="17">
        <v>-213701632.02999985</v>
      </c>
      <c r="T13" s="17">
        <v>-93328691.130000114</v>
      </c>
      <c r="U13" s="17">
        <v>-120129435.18000019</v>
      </c>
      <c r="V13" s="17">
        <v>206254171.42999995</v>
      </c>
      <c r="W13" s="17"/>
      <c r="X13" s="17"/>
      <c r="Y13" s="17">
        <v>-220905586.91000021</v>
      </c>
      <c r="Z13" s="17">
        <v>-61729133.310000181</v>
      </c>
      <c r="AA13" s="17">
        <v>-255039163.25000048</v>
      </c>
      <c r="AB13" s="17">
        <v>-266737286.0400002</v>
      </c>
      <c r="AC13" s="17">
        <v>524925876.07000202</v>
      </c>
      <c r="AD13" s="17">
        <v>-58579706.529998861</v>
      </c>
      <c r="AE13" s="17">
        <v>-94665153.570001602</v>
      </c>
      <c r="AF13" s="17">
        <v>-35526400.480000138</v>
      </c>
      <c r="AG13" s="17">
        <v>-146894231.40803814</v>
      </c>
      <c r="AH13" s="17">
        <v>-761704989.46196187</v>
      </c>
      <c r="AI13" s="17">
        <v>-1039790774.9200017</v>
      </c>
      <c r="AJ13" s="17">
        <v>-433463402.527035</v>
      </c>
      <c r="AK13" s="17">
        <v>55984724.010016799</v>
      </c>
      <c r="AL13" s="17">
        <v>-438477345.39004779</v>
      </c>
      <c r="AM13" s="17">
        <v>59878664.742972851</v>
      </c>
      <c r="AN13" s="17">
        <v>-755077359.25702715</v>
      </c>
      <c r="AO13" s="17">
        <v>638751801.48554218</v>
      </c>
      <c r="AP13" s="17">
        <v>-717942014.33773851</v>
      </c>
      <c r="AQ13" s="17">
        <v>-748762816.51930785</v>
      </c>
      <c r="AR13" s="195">
        <v>-1567018927.5378928</v>
      </c>
      <c r="AS13" s="17">
        <v>-2394971956.9093971</v>
      </c>
      <c r="AT13" s="17">
        <v>-3678145071.7225666</v>
      </c>
      <c r="AU13" s="17"/>
      <c r="AV13" s="17"/>
      <c r="AW13" s="17">
        <v>-307030323.15999997</v>
      </c>
      <c r="AX13" s="17">
        <v>-316768296.56000066</v>
      </c>
      <c r="AY13" s="17">
        <v>-131191554.05000174</v>
      </c>
      <c r="AZ13" s="17">
        <v>-377478678.5170182</v>
      </c>
      <c r="BA13" s="17">
        <v>-79190212.852196276</v>
      </c>
      <c r="BC13" s="17">
        <v>-427159758.34000015</v>
      </c>
      <c r="BD13" s="17">
        <v>-583505582.60000086</v>
      </c>
      <c r="BE13" s="17">
        <v>-278085785.45803988</v>
      </c>
      <c r="BF13" s="17">
        <v>-814956023.90706599</v>
      </c>
      <c r="BG13" s="17">
        <v>-827953029.37150419</v>
      </c>
    </row>
    <row r="14" spans="1:59" x14ac:dyDescent="0.25">
      <c r="B14" s="91" t="s">
        <v>273</v>
      </c>
      <c r="C14" s="88"/>
      <c r="D14" s="88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>
        <v>-2952684104.9831104</v>
      </c>
      <c r="R14" s="17">
        <v>-406613648.8888002</v>
      </c>
      <c r="S14" s="17">
        <v>1482364.0118236542</v>
      </c>
      <c r="T14" s="17">
        <v>280831635.18117619</v>
      </c>
      <c r="U14" s="17">
        <v>-61621523.301828027</v>
      </c>
      <c r="V14" s="17">
        <v>255576321.2918278</v>
      </c>
      <c r="W14" s="17"/>
      <c r="X14" s="17"/>
      <c r="Y14" s="17">
        <v>476268797.18299961</v>
      </c>
      <c r="Z14" s="17">
        <v>-655957707.87999964</v>
      </c>
      <c r="AA14" s="17">
        <v>-750771231.52481222</v>
      </c>
      <c r="AB14" s="17">
        <v>1334592841.790813</v>
      </c>
      <c r="AC14" s="17">
        <v>42908101.413999081</v>
      </c>
      <c r="AD14" s="17">
        <v>-29227996.199999809</v>
      </c>
      <c r="AE14" s="17">
        <v>-542018347.49000049</v>
      </c>
      <c r="AF14" s="17">
        <v>-519983549.87000036</v>
      </c>
      <c r="AG14" s="17">
        <v>467027287.97819972</v>
      </c>
      <c r="AH14" s="17">
        <v>-336794947.16819859</v>
      </c>
      <c r="AI14" s="17">
        <v>-931769556.54999971</v>
      </c>
      <c r="AJ14" s="17">
        <v>28114276.899999738</v>
      </c>
      <c r="AK14" s="17">
        <v>-1477039240.3930001</v>
      </c>
      <c r="AL14" s="17">
        <v>2236763512.2230005</v>
      </c>
      <c r="AM14" s="15">
        <v>0</v>
      </c>
      <c r="AN14" s="15">
        <v>0</v>
      </c>
      <c r="AO14" s="15">
        <v>0</v>
      </c>
      <c r="AP14" s="17">
        <v>0</v>
      </c>
      <c r="AQ14" s="17">
        <v>0</v>
      </c>
      <c r="AR14" s="17">
        <v>0</v>
      </c>
      <c r="AS14" s="15">
        <v>0</v>
      </c>
      <c r="AT14" s="15">
        <v>0</v>
      </c>
      <c r="AU14" s="17"/>
      <c r="AV14" s="17"/>
      <c r="AW14" s="17">
        <v>282313999.19299984</v>
      </c>
      <c r="AX14" s="17">
        <v>-1406728939.4048119</v>
      </c>
      <c r="AY14" s="17">
        <v>-1062001897.3600008</v>
      </c>
      <c r="AZ14" s="17">
        <v>-1448924963.4930005</v>
      </c>
      <c r="BA14" s="17">
        <v>0</v>
      </c>
      <c r="BC14" s="17">
        <v>219692475.89117181</v>
      </c>
      <c r="BD14" s="17">
        <v>-72136097.61399889</v>
      </c>
      <c r="BE14" s="17">
        <v>-594974609.38180113</v>
      </c>
      <c r="BF14" s="17">
        <v>787838548.72999978</v>
      </c>
      <c r="BG14" s="15">
        <v>0</v>
      </c>
    </row>
    <row r="15" spans="1:59" x14ac:dyDescent="0.25">
      <c r="B15" s="91" t="s">
        <v>75</v>
      </c>
      <c r="C15" s="88"/>
      <c r="D15" s="88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>
        <v>4329760.4859964997</v>
      </c>
      <c r="R15" s="17">
        <v>-48974076.398609996</v>
      </c>
      <c r="S15" s="17">
        <v>67871732.83667469</v>
      </c>
      <c r="T15" s="17">
        <v>-34827984.216675788</v>
      </c>
      <c r="U15" s="17">
        <v>-70521140.539998919</v>
      </c>
      <c r="V15" s="17">
        <v>45405870.460000306</v>
      </c>
      <c r="W15" s="17"/>
      <c r="X15" s="17"/>
      <c r="Y15" s="17">
        <v>6928478.5400002878</v>
      </c>
      <c r="Z15" s="17">
        <v>25439164.539997749</v>
      </c>
      <c r="AA15" s="17">
        <v>-7571305.2326590344</v>
      </c>
      <c r="AB15" s="17">
        <v>6354778.7909999266</v>
      </c>
      <c r="AC15" s="17">
        <v>1898270857.703897</v>
      </c>
      <c r="AD15" s="17">
        <v>1921493495.8022356</v>
      </c>
      <c r="AE15" s="17">
        <v>40995881.537763894</v>
      </c>
      <c r="AF15" s="17">
        <v>49434.240000024438</v>
      </c>
      <c r="AG15" s="17">
        <v>-137515516.01975292</v>
      </c>
      <c r="AH15" s="17">
        <v>-27701299.020247132</v>
      </c>
      <c r="AI15" s="17">
        <v>-125171499.26223612</v>
      </c>
      <c r="AJ15" s="17">
        <v>-34874678.299999982</v>
      </c>
      <c r="AK15" s="17">
        <v>133236267.9785423</v>
      </c>
      <c r="AL15" s="17">
        <v>-166800877.50854233</v>
      </c>
      <c r="AM15" s="15">
        <v>0</v>
      </c>
      <c r="AN15" s="15">
        <v>0</v>
      </c>
      <c r="AO15" s="15">
        <v>0</v>
      </c>
      <c r="AP15" s="17">
        <v>0</v>
      </c>
      <c r="AQ15" s="17">
        <v>0</v>
      </c>
      <c r="AR15" s="17">
        <v>0</v>
      </c>
      <c r="AS15" s="15">
        <v>0</v>
      </c>
      <c r="AT15" s="15">
        <v>0</v>
      </c>
      <c r="AU15" s="17"/>
      <c r="AV15" s="17"/>
      <c r="AW15" s="17">
        <v>33043748.619998902</v>
      </c>
      <c r="AX15" s="17">
        <v>16867859.307338715</v>
      </c>
      <c r="AY15" s="17">
        <v>41045315.777763918</v>
      </c>
      <c r="AZ15" s="17">
        <v>98361589.678542316</v>
      </c>
      <c r="BA15" s="17">
        <v>0</v>
      </c>
      <c r="BC15" s="17">
        <v>-38477391.920000017</v>
      </c>
      <c r="BD15" s="17">
        <v>23222638.098338641</v>
      </c>
      <c r="BE15" s="17">
        <v>-97470200.241988987</v>
      </c>
      <c r="BF15" s="17">
        <v>-69439287.830000013</v>
      </c>
      <c r="BG15" s="15">
        <v>0</v>
      </c>
    </row>
    <row r="16" spans="1:59" x14ac:dyDescent="0.25">
      <c r="B16" s="91" t="s">
        <v>544</v>
      </c>
      <c r="C16" s="88"/>
      <c r="D16" s="88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>
        <v>-1099025653.3842316</v>
      </c>
      <c r="AN16" s="17">
        <v>-380626392.38423157</v>
      </c>
      <c r="AO16" s="17">
        <v>-613232996.78576803</v>
      </c>
      <c r="AP16" s="195">
        <v>-70841579.048995972</v>
      </c>
      <c r="AQ16" s="195">
        <v>474337210.83790332</v>
      </c>
      <c r="AR16" s="195">
        <v>651036947.15109253</v>
      </c>
      <c r="AS16" s="195">
        <v>-898648560.97953033</v>
      </c>
      <c r="AT16" s="17">
        <v>-1024466955.6429998</v>
      </c>
      <c r="AU16" s="17"/>
      <c r="AV16" s="17"/>
      <c r="AW16" s="17"/>
      <c r="AX16" s="17"/>
      <c r="AY16" s="17"/>
      <c r="AZ16" s="17"/>
      <c r="BA16" s="17">
        <v>-684074575.834764</v>
      </c>
      <c r="BC16" s="17"/>
      <c r="BD16" s="17"/>
      <c r="BE16" s="17"/>
      <c r="BF16" s="17"/>
      <c r="BG16" s="17">
        <v>-209737364.99686068</v>
      </c>
    </row>
    <row r="17" spans="2:59" x14ac:dyDescent="0.25">
      <c r="B17" s="91" t="s">
        <v>545</v>
      </c>
      <c r="C17" s="88"/>
      <c r="D17" s="88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>
        <v>1470599505.9814854</v>
      </c>
      <c r="AN17" s="17">
        <v>-1064443584.0185146</v>
      </c>
      <c r="AO17" s="17">
        <v>-677239347.02103901</v>
      </c>
      <c r="AP17" s="195">
        <v>-1287792123.8646188</v>
      </c>
      <c r="AQ17" s="195">
        <v>-52804189.161250114</v>
      </c>
      <c r="AR17" s="195">
        <v>609541920.05814171</v>
      </c>
      <c r="AS17" s="195">
        <v>0</v>
      </c>
      <c r="AT17" s="17">
        <v>-3335838333.2352176</v>
      </c>
      <c r="AU17" s="17"/>
      <c r="AV17" s="17"/>
      <c r="AW17" s="17"/>
      <c r="AX17" s="17"/>
      <c r="AY17" s="17"/>
      <c r="AZ17" s="17"/>
      <c r="BA17" s="17">
        <v>-1965031470.8856583</v>
      </c>
      <c r="BC17" s="17"/>
      <c r="BD17" s="17"/>
      <c r="BE17" s="17"/>
      <c r="BF17" s="17"/>
      <c r="BG17" s="17">
        <v>-2016835660.0469084</v>
      </c>
    </row>
    <row r="18" spans="2:59" x14ac:dyDescent="0.25">
      <c r="B18" s="91" t="s">
        <v>274</v>
      </c>
      <c r="C18" s="88"/>
      <c r="D18" s="88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>
        <v>-51856711.021517515</v>
      </c>
      <c r="R18" s="17">
        <v>252677849.78597212</v>
      </c>
      <c r="S18" s="17">
        <v>-593878262.13717818</v>
      </c>
      <c r="T18" s="17">
        <v>-23321770.694008708</v>
      </c>
      <c r="U18" s="17">
        <v>-103817795.90045512</v>
      </c>
      <c r="V18" s="17">
        <v>46517928.038319826</v>
      </c>
      <c r="W18" s="17"/>
      <c r="X18" s="17"/>
      <c r="Y18" s="17">
        <v>-674499900.69332218</v>
      </c>
      <c r="Z18" s="17">
        <v>156455432.81367016</v>
      </c>
      <c r="AA18" s="17">
        <v>267505014.36719728</v>
      </c>
      <c r="AB18" s="17">
        <v>-370516160.38300633</v>
      </c>
      <c r="AC18" s="17">
        <v>-529357820.98031449</v>
      </c>
      <c r="AD18" s="17">
        <v>-475913534.18245339</v>
      </c>
      <c r="AE18" s="17">
        <v>-3163683968.4290028</v>
      </c>
      <c r="AF18" s="17">
        <v>-546063299.83353996</v>
      </c>
      <c r="AG18" s="17">
        <v>1605304974.899236</v>
      </c>
      <c r="AH18" s="17">
        <v>-19388002.276605844</v>
      </c>
      <c r="AI18" s="17">
        <v>414561205.06008714</v>
      </c>
      <c r="AJ18" s="17">
        <v>-2215045224.4683886</v>
      </c>
      <c r="AK18" s="17">
        <v>664087883.87501335</v>
      </c>
      <c r="AL18" s="17">
        <v>251418661.61636639</v>
      </c>
      <c r="AM18" s="17">
        <v>0</v>
      </c>
      <c r="AN18" s="17">
        <v>0</v>
      </c>
      <c r="AO18" s="17">
        <v>0</v>
      </c>
      <c r="AP18" s="17">
        <v>0</v>
      </c>
      <c r="AQ18" s="17">
        <v>0</v>
      </c>
      <c r="AR18" s="17">
        <v>0</v>
      </c>
      <c r="AS18" s="17">
        <v>0</v>
      </c>
      <c r="AT18" s="17">
        <v>0</v>
      </c>
      <c r="AU18" s="17"/>
      <c r="AV18" s="17"/>
      <c r="AW18" s="17">
        <v>-617200032.83118689</v>
      </c>
      <c r="AX18" s="17">
        <v>423960447.18086743</v>
      </c>
      <c r="AY18" s="17">
        <v>-3709747268.2625427</v>
      </c>
      <c r="AZ18" s="17">
        <v>-1550957340.5933752</v>
      </c>
      <c r="BA18" s="17">
        <v>0</v>
      </c>
      <c r="BC18" s="17">
        <v>-721017828.73164201</v>
      </c>
      <c r="BD18" s="17">
        <v>53444286.797861099</v>
      </c>
      <c r="BE18" s="17">
        <v>-2105442293.3633068</v>
      </c>
      <c r="BF18" s="17">
        <v>-1299538678.9770088</v>
      </c>
      <c r="BG18" s="17">
        <v>0</v>
      </c>
    </row>
    <row r="19" spans="2:59" x14ac:dyDescent="0.25">
      <c r="B19" s="91" t="s">
        <v>275</v>
      </c>
      <c r="C19" s="88"/>
      <c r="D19" s="88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>
        <v>-29253550.48000145</v>
      </c>
      <c r="R19" s="17">
        <v>205663700.59999657</v>
      </c>
      <c r="S19" s="17">
        <v>17605355.360001601</v>
      </c>
      <c r="T19" s="17">
        <v>-38108960.390000381</v>
      </c>
      <c r="U19" s="17">
        <v>-18042574.28000021</v>
      </c>
      <c r="V19" s="17">
        <v>44644724.490000248</v>
      </c>
      <c r="W19" s="17"/>
      <c r="X19" s="17"/>
      <c r="Y19" s="17">
        <v>7098545.1800012589</v>
      </c>
      <c r="Z19" s="17">
        <v>-275171076.11000061</v>
      </c>
      <c r="AA19" s="17">
        <v>250083871.07999802</v>
      </c>
      <c r="AB19" s="17">
        <v>-18765438.939997673</v>
      </c>
      <c r="AC19" s="17">
        <v>149920200.21000099</v>
      </c>
      <c r="AD19" s="17">
        <v>106067556.24000072</v>
      </c>
      <c r="AE19" s="17">
        <v>-18355074.599999987</v>
      </c>
      <c r="AF19" s="17">
        <v>16326948</v>
      </c>
      <c r="AG19" s="17">
        <v>-415365404.78000003</v>
      </c>
      <c r="AH19" s="17">
        <v>54228295.543800056</v>
      </c>
      <c r="AI19" s="17">
        <v>-363165235.83619994</v>
      </c>
      <c r="AJ19" s="17">
        <v>-229978712.20719999</v>
      </c>
      <c r="AK19" s="17">
        <v>632467975.85559988</v>
      </c>
      <c r="AL19" s="17">
        <v>-230799652.84233505</v>
      </c>
      <c r="AM19" s="17">
        <v>0</v>
      </c>
      <c r="AN19" s="17">
        <v>0</v>
      </c>
      <c r="AO19" s="17">
        <v>0</v>
      </c>
      <c r="AP19" s="17">
        <v>0</v>
      </c>
      <c r="AQ19" s="17">
        <v>0</v>
      </c>
      <c r="AR19" s="17">
        <v>0</v>
      </c>
      <c r="AS19" s="17">
        <v>0</v>
      </c>
      <c r="AT19" s="17">
        <v>0</v>
      </c>
      <c r="AU19" s="17"/>
      <c r="AV19" s="17"/>
      <c r="AW19" s="17">
        <v>-19503605.029998779</v>
      </c>
      <c r="AX19" s="17">
        <v>-25087205.030002594</v>
      </c>
      <c r="AY19" s="17">
        <v>-2028126.5999999866</v>
      </c>
      <c r="AZ19" s="17">
        <v>402489263.64839995</v>
      </c>
      <c r="BA19" s="17">
        <v>0</v>
      </c>
      <c r="BC19" s="17">
        <v>-37546179.309998989</v>
      </c>
      <c r="BD19" s="17">
        <v>-43852643.970000267</v>
      </c>
      <c r="BE19" s="17">
        <v>-417393531.38</v>
      </c>
      <c r="BF19" s="17">
        <v>170689610.8060649</v>
      </c>
      <c r="BG19" s="17">
        <v>0</v>
      </c>
    </row>
    <row r="20" spans="2:59" x14ac:dyDescent="0.25">
      <c r="B20" s="91" t="s">
        <v>276</v>
      </c>
      <c r="C20" s="88"/>
      <c r="D20" s="88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>
        <v>-288191545.91782498</v>
      </c>
      <c r="R20" s="17">
        <v>-994822217.28139901</v>
      </c>
      <c r="S20" s="17">
        <v>-136182381.57976842</v>
      </c>
      <c r="T20" s="17">
        <v>-2291130576.7299995</v>
      </c>
      <c r="U20" s="17">
        <v>2327722481.4757061</v>
      </c>
      <c r="V20" s="17">
        <v>-113640630.30629566</v>
      </c>
      <c r="W20" s="17"/>
      <c r="X20" s="17"/>
      <c r="Y20" s="17">
        <v>-213231107.14035782</v>
      </c>
      <c r="Z20" s="17">
        <v>153170087.05919647</v>
      </c>
      <c r="AA20" s="17">
        <v>-1166225209.836175</v>
      </c>
      <c r="AB20" s="17">
        <v>481756510.52095443</v>
      </c>
      <c r="AC20" s="17">
        <v>-917095.83224725723</v>
      </c>
      <c r="AD20" s="17">
        <v>-532215708.08827132</v>
      </c>
      <c r="AE20" s="17">
        <v>335706387.20259404</v>
      </c>
      <c r="AF20" s="17">
        <v>-321934649.8577255</v>
      </c>
      <c r="AG20" s="17">
        <v>-443020426.35384476</v>
      </c>
      <c r="AH20" s="17">
        <v>-55846911.797845483</v>
      </c>
      <c r="AI20" s="17">
        <v>-485095600.8068217</v>
      </c>
      <c r="AJ20" s="17">
        <v>-523311326.59560537</v>
      </c>
      <c r="AK20" s="17">
        <v>-1003487092.6926072</v>
      </c>
      <c r="AL20" s="17">
        <v>119604396.80418563</v>
      </c>
      <c r="AM20" s="17">
        <v>0</v>
      </c>
      <c r="AN20" s="17">
        <v>0</v>
      </c>
      <c r="AO20" s="17">
        <v>0</v>
      </c>
      <c r="AP20" s="17">
        <v>0</v>
      </c>
      <c r="AQ20" s="17">
        <v>0</v>
      </c>
      <c r="AR20" s="17">
        <v>0</v>
      </c>
      <c r="AS20" s="17">
        <v>0</v>
      </c>
      <c r="AT20" s="17">
        <v>0</v>
      </c>
      <c r="AU20" s="17"/>
      <c r="AV20" s="17"/>
      <c r="AW20" s="17">
        <v>-2427312958.3097682</v>
      </c>
      <c r="AX20" s="17">
        <v>-1013055122.7769785</v>
      </c>
      <c r="AY20" s="17">
        <v>13771737.344868541</v>
      </c>
      <c r="AZ20" s="17">
        <v>-1525798419.2882125</v>
      </c>
      <c r="BA20" s="17">
        <v>0</v>
      </c>
      <c r="BC20" s="17">
        <v>-98590476.834062159</v>
      </c>
      <c r="BD20" s="17">
        <v>-531298612.25602406</v>
      </c>
      <c r="BE20" s="17">
        <v>-429248689.00897622</v>
      </c>
      <c r="BF20" s="17">
        <v>-1406194022.4840269</v>
      </c>
      <c r="BG20" s="17">
        <v>0</v>
      </c>
    </row>
    <row r="21" spans="2:59" x14ac:dyDescent="0.25">
      <c r="B21" s="91" t="s">
        <v>417</v>
      </c>
      <c r="C21" s="88"/>
      <c r="D21" s="88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>
        <v>0</v>
      </c>
      <c r="AH21" s="17">
        <v>-7556706593.8451004</v>
      </c>
      <c r="AI21" s="17">
        <v>-7556706593.8451004</v>
      </c>
      <c r="AJ21" s="17">
        <v>-712636880.10658431</v>
      </c>
      <c r="AK21" s="17">
        <v>-1344617532.3154011</v>
      </c>
      <c r="AL21" s="17">
        <v>-1166957812.2179196</v>
      </c>
      <c r="AM21" s="17">
        <v>9749780514.9582367</v>
      </c>
      <c r="AN21" s="17">
        <v>-4153431710.04176</v>
      </c>
      <c r="AO21" s="17">
        <v>-196148633.09599999</v>
      </c>
      <c r="AP21" s="17">
        <v>-90634983.769799918</v>
      </c>
      <c r="AQ21" s="17">
        <v>-134304618.83020008</v>
      </c>
      <c r="AR21" s="17">
        <v>-511702648.54913533</v>
      </c>
      <c r="AS21" s="17">
        <v>0</v>
      </c>
      <c r="AT21" s="17">
        <v>-132275354.70000014</v>
      </c>
      <c r="AU21" s="17"/>
      <c r="AV21" s="17"/>
      <c r="AW21" s="17">
        <v>0</v>
      </c>
      <c r="AX21" s="17">
        <v>0</v>
      </c>
      <c r="AY21" s="17">
        <v>0</v>
      </c>
      <c r="AZ21" s="17">
        <v>-2058254412.4219854</v>
      </c>
      <c r="BA21" s="17">
        <v>-286783616.8657999</v>
      </c>
      <c r="BC21" s="17"/>
      <c r="BD21" s="17"/>
      <c r="BE21" s="17">
        <v>0</v>
      </c>
      <c r="BF21" s="17">
        <v>-3225212224.639905</v>
      </c>
      <c r="BG21" s="17">
        <v>-421088235.69599998</v>
      </c>
    </row>
    <row r="22" spans="2:59" x14ac:dyDescent="0.25">
      <c r="B22" s="91" t="s">
        <v>546</v>
      </c>
      <c r="C22" s="88"/>
      <c r="D22" s="88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>
        <v>15405807.779999999</v>
      </c>
      <c r="AN22" s="17">
        <v>0</v>
      </c>
      <c r="AO22" s="17">
        <v>0</v>
      </c>
      <c r="AP22" s="17">
        <v>-1913353.08</v>
      </c>
      <c r="AQ22" s="17">
        <v>1978827.08</v>
      </c>
      <c r="AR22" s="17">
        <v>0</v>
      </c>
      <c r="AS22" s="17"/>
      <c r="AT22" s="17">
        <v>2599641.24297777</v>
      </c>
      <c r="AU22" s="17"/>
      <c r="AV22" s="17"/>
      <c r="AW22" s="17">
        <v>0</v>
      </c>
      <c r="AX22" s="17">
        <v>0</v>
      </c>
      <c r="AY22" s="17">
        <v>0</v>
      </c>
      <c r="AZ22" s="17">
        <v>0</v>
      </c>
      <c r="BA22" s="17">
        <v>-1913353.08</v>
      </c>
      <c r="BC22" s="17"/>
      <c r="BD22" s="17"/>
      <c r="BE22" s="17"/>
      <c r="BF22" s="17"/>
      <c r="BG22" s="17"/>
    </row>
    <row r="23" spans="2:59" x14ac:dyDescent="0.25">
      <c r="B23" s="91" t="s">
        <v>547</v>
      </c>
      <c r="C23" s="88"/>
      <c r="D23" s="88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>
        <v>3967049273.4655375</v>
      </c>
      <c r="AN23" s="17">
        <v>460529226.245538</v>
      </c>
      <c r="AO23" s="17">
        <v>-3270546410.2108912</v>
      </c>
      <c r="AP23" s="17">
        <v>1165830437.6450238</v>
      </c>
      <c r="AQ23" s="17">
        <v>696055342.05602789</v>
      </c>
      <c r="AR23" s="17">
        <v>2782241588.816011</v>
      </c>
      <c r="AS23" s="17">
        <v>0</v>
      </c>
      <c r="AT23" s="17">
        <v>-3833929629.9162197</v>
      </c>
      <c r="AU23" s="17"/>
      <c r="AV23" s="17"/>
      <c r="AW23" s="17">
        <v>0</v>
      </c>
      <c r="AX23" s="17">
        <v>0</v>
      </c>
      <c r="AY23" s="17">
        <v>0</v>
      </c>
      <c r="AZ23" s="17">
        <v>0</v>
      </c>
      <c r="BA23" s="17">
        <v>-2104715972.565866</v>
      </c>
      <c r="BC23" s="17"/>
      <c r="BD23" s="17"/>
      <c r="BE23" s="17"/>
      <c r="BF23" s="17"/>
      <c r="BG23" s="17">
        <v>-1408660630.5098381</v>
      </c>
    </row>
    <row r="24" spans="2:59" x14ac:dyDescent="0.25">
      <c r="B24" s="91" t="s">
        <v>277</v>
      </c>
      <c r="C24" s="88"/>
      <c r="D24" s="88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>
        <v>-187298182.03000355</v>
      </c>
      <c r="R24" s="17">
        <v>31282624.029997349</v>
      </c>
      <c r="S24" s="17">
        <v>-108299591.11999702</v>
      </c>
      <c r="T24" s="17">
        <v>219244467.96000481</v>
      </c>
      <c r="U24" s="17">
        <v>-91620518.520004272</v>
      </c>
      <c r="V24" s="17">
        <v>-276787529.3693046</v>
      </c>
      <c r="W24" s="17"/>
      <c r="X24" s="17"/>
      <c r="Y24" s="17">
        <v>-258463171.04930109</v>
      </c>
      <c r="Z24" s="17">
        <v>-47337919.769994736</v>
      </c>
      <c r="AA24" s="17">
        <v>-10597201.429998398</v>
      </c>
      <c r="AB24" s="17">
        <v>30086370.749623239</v>
      </c>
      <c r="AC24" s="17">
        <v>43462602.58180055</v>
      </c>
      <c r="AD24" s="17">
        <v>14613852.131430656</v>
      </c>
      <c r="AE24" s="17">
        <v>10039152.177599996</v>
      </c>
      <c r="AF24" s="17">
        <v>9617300.2656000033</v>
      </c>
      <c r="AG24" s="17">
        <v>-61945127.195</v>
      </c>
      <c r="AH24" s="17">
        <v>0</v>
      </c>
      <c r="AI24" s="17">
        <v>-42288674.751800001</v>
      </c>
      <c r="AJ24" s="17">
        <v>346075249.36299998</v>
      </c>
      <c r="AK24" s="17">
        <v>-318805829.16299999</v>
      </c>
      <c r="AL24" s="17">
        <v>-27269420.199999999</v>
      </c>
      <c r="AM24" s="17">
        <v>0</v>
      </c>
      <c r="AN24" s="17">
        <v>0</v>
      </c>
      <c r="AO24" s="17">
        <v>0</v>
      </c>
      <c r="AP24" s="17">
        <v>0</v>
      </c>
      <c r="AQ24" s="17">
        <v>0</v>
      </c>
      <c r="AR24" s="17">
        <v>0</v>
      </c>
      <c r="AS24" s="17">
        <v>0</v>
      </c>
      <c r="AT24" s="17">
        <v>0</v>
      </c>
      <c r="AU24" s="17"/>
      <c r="AV24" s="17"/>
      <c r="AW24" s="17">
        <v>110944876.84000778</v>
      </c>
      <c r="AX24" s="17">
        <v>-57935121.199993134</v>
      </c>
      <c r="AY24" s="17">
        <v>19656452.4432</v>
      </c>
      <c r="AZ24" s="17">
        <v>27269420.199999999</v>
      </c>
      <c r="BA24" s="17">
        <v>0</v>
      </c>
      <c r="BC24" s="17">
        <v>19324358.32000351</v>
      </c>
      <c r="BD24" s="17">
        <v>-27848750.450369895</v>
      </c>
      <c r="BE24" s="17">
        <v>-42288674.751800001</v>
      </c>
      <c r="BF24" s="17">
        <v>0</v>
      </c>
      <c r="BG24" s="17">
        <v>0</v>
      </c>
    </row>
    <row r="25" spans="2:59" x14ac:dyDescent="0.25">
      <c r="B25" s="91" t="s">
        <v>278</v>
      </c>
      <c r="C25" s="88"/>
      <c r="D25" s="88"/>
      <c r="E25" s="40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>
        <v>294905249.24801618</v>
      </c>
      <c r="R25" s="17">
        <v>273719916.36655736</v>
      </c>
      <c r="S25" s="17">
        <v>-1397996452.669996</v>
      </c>
      <c r="T25" s="17">
        <v>74898955.600000381</v>
      </c>
      <c r="U25" s="17">
        <v>-54284974.880000114</v>
      </c>
      <c r="V25" s="17">
        <v>1545106978.6899974</v>
      </c>
      <c r="W25" s="17"/>
      <c r="X25" s="17"/>
      <c r="Y25" s="17">
        <v>167724506.74000162</v>
      </c>
      <c r="Z25" s="17">
        <v>-1507930380.7999976</v>
      </c>
      <c r="AA25" s="17">
        <v>368198254.42799973</v>
      </c>
      <c r="AB25" s="17">
        <v>-362968726.96699977</v>
      </c>
      <c r="AC25" s="17">
        <v>2904115913.1094151</v>
      </c>
      <c r="AD25" s="17">
        <v>1401415059.7704172</v>
      </c>
      <c r="AE25" s="17">
        <v>86382081.318582058</v>
      </c>
      <c r="AF25" s="17">
        <v>-2521440301.1114697</v>
      </c>
      <c r="AG25" s="17">
        <v>-402221469.45562744</v>
      </c>
      <c r="AH25" s="17">
        <v>3966425688.9068184</v>
      </c>
      <c r="AI25" s="195">
        <v>835982129.28181314</v>
      </c>
      <c r="AJ25" s="17">
        <v>-3224522928.5058279</v>
      </c>
      <c r="AK25" s="17">
        <v>-503756565.24780083</v>
      </c>
      <c r="AL25" s="17">
        <v>131977674.2930007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/>
      <c r="AV25" s="17"/>
      <c r="AW25" s="17">
        <v>-1323097497.0699956</v>
      </c>
      <c r="AX25" s="17">
        <v>-1139732126.3719978</v>
      </c>
      <c r="AY25" s="17">
        <v>-2435058219.7928877</v>
      </c>
      <c r="AZ25" s="17">
        <v>-3729279493.7536287</v>
      </c>
      <c r="BA25" s="17">
        <v>0</v>
      </c>
      <c r="BC25" s="17">
        <v>-1377382471.9499958</v>
      </c>
      <c r="BD25" s="17">
        <v>-1502700853.3389976</v>
      </c>
      <c r="BE25" s="17">
        <v>-2837279689.2485151</v>
      </c>
      <c r="BF25" s="17">
        <v>-3597301819.460628</v>
      </c>
      <c r="BG25" s="17">
        <v>0</v>
      </c>
    </row>
    <row r="26" spans="2:59" x14ac:dyDescent="0.25">
      <c r="B26" s="91" t="s">
        <v>279</v>
      </c>
      <c r="C26" s="88"/>
      <c r="D26" s="88"/>
      <c r="E26" s="40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>
        <v>15774110.909999967</v>
      </c>
      <c r="R26" s="17">
        <v>35358040.349999979</v>
      </c>
      <c r="S26" s="17">
        <v>1443246.4200000761</v>
      </c>
      <c r="T26" s="17">
        <v>16096334.388299912</v>
      </c>
      <c r="U26" s="17">
        <v>96736468.831700236</v>
      </c>
      <c r="V26" s="17">
        <v>-123290475.39000008</v>
      </c>
      <c r="W26" s="17"/>
      <c r="X26" s="17"/>
      <c r="Y26" s="17">
        <v>-9014425.749999851</v>
      </c>
      <c r="Z26" s="17">
        <v>-10968354.110000134</v>
      </c>
      <c r="AA26" s="17">
        <v>24502714.489999771</v>
      </c>
      <c r="AB26" s="17">
        <v>-900987.67999954149</v>
      </c>
      <c r="AC26" s="17">
        <v>-7382339.99999981</v>
      </c>
      <c r="AD26" s="17">
        <v>6251032.7000002861</v>
      </c>
      <c r="AE26" s="17">
        <v>-5335902.8</v>
      </c>
      <c r="AF26" s="17">
        <v>3200000.01</v>
      </c>
      <c r="AG26" s="17">
        <v>0</v>
      </c>
      <c r="AH26" s="17">
        <v>10000</v>
      </c>
      <c r="AI26" s="17">
        <v>-2125902.79</v>
      </c>
      <c r="AJ26" s="17">
        <v>0</v>
      </c>
      <c r="AK26" s="17">
        <v>-3210000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/>
      <c r="AV26" s="17"/>
      <c r="AW26" s="17">
        <v>16539580.808299989</v>
      </c>
      <c r="AX26" s="17">
        <v>13534360.379999638</v>
      </c>
      <c r="AY26" s="17">
        <v>-2135902.79</v>
      </c>
      <c r="AZ26" s="17">
        <v>-3210000</v>
      </c>
      <c r="BA26" s="17">
        <v>0</v>
      </c>
      <c r="BC26" s="17">
        <v>114276049.64000022</v>
      </c>
      <c r="BD26" s="17">
        <v>12633372.700000096</v>
      </c>
      <c r="BE26" s="17">
        <v>-2135902.79</v>
      </c>
      <c r="BF26" s="17">
        <v>-3210000</v>
      </c>
      <c r="BG26" s="17">
        <v>0</v>
      </c>
    </row>
    <row r="27" spans="2:59" x14ac:dyDescent="0.25">
      <c r="B27" s="91" t="s">
        <v>280</v>
      </c>
      <c r="C27" s="88"/>
      <c r="D27" s="88"/>
      <c r="E27" s="40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>
        <v>0</v>
      </c>
      <c r="R27" s="17">
        <v>0</v>
      </c>
      <c r="S27" s="17">
        <v>0</v>
      </c>
      <c r="T27" s="17">
        <v>1468632321.0700002</v>
      </c>
      <c r="U27" s="17">
        <v>-89932261.720000267</v>
      </c>
      <c r="V27" s="17">
        <v>158515017.07999992</v>
      </c>
      <c r="W27" s="17"/>
      <c r="X27" s="17"/>
      <c r="Y27" s="17">
        <v>1538215076.4299998</v>
      </c>
      <c r="Z27" s="17">
        <v>31843308.950000077</v>
      </c>
      <c r="AA27" s="17">
        <v>5965361.85999991</v>
      </c>
      <c r="AB27" s="17">
        <v>18831699.960000023</v>
      </c>
      <c r="AC27" s="17">
        <v>-165528712.63000011</v>
      </c>
      <c r="AD27" s="17">
        <v>-108888341.8600001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/>
      <c r="AV27" s="17"/>
      <c r="AW27" s="17">
        <v>1468632321.0700002</v>
      </c>
      <c r="AX27" s="17">
        <v>37808670.809999987</v>
      </c>
      <c r="AY27" s="17">
        <v>0</v>
      </c>
      <c r="AZ27" s="17">
        <v>0</v>
      </c>
      <c r="BA27" s="17">
        <v>0</v>
      </c>
      <c r="BC27" s="17">
        <v>1378700059.3499999</v>
      </c>
      <c r="BD27" s="17">
        <v>56640370.770000011</v>
      </c>
      <c r="BE27" s="17">
        <v>0</v>
      </c>
      <c r="BF27" s="17">
        <v>0</v>
      </c>
      <c r="BG27" s="17">
        <v>0</v>
      </c>
    </row>
    <row r="28" spans="2:59" x14ac:dyDescent="0.25">
      <c r="B28" s="91" t="s">
        <v>281</v>
      </c>
      <c r="C28" s="88"/>
      <c r="D28" s="88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>
        <v>221161828.05705786</v>
      </c>
      <c r="R28" s="17">
        <v>697316492.21247196</v>
      </c>
      <c r="S28" s="17">
        <v>696274541.33843088</v>
      </c>
      <c r="T28" s="17">
        <v>-1478473016.0449393</v>
      </c>
      <c r="U28" s="17">
        <v>898240245.10749745</v>
      </c>
      <c r="V28" s="17">
        <v>-671078161.15332532</v>
      </c>
      <c r="W28" s="17"/>
      <c r="X28" s="17"/>
      <c r="Y28" s="17">
        <v>-555036390.75233626</v>
      </c>
      <c r="Z28" s="17">
        <v>2350822346.5404372</v>
      </c>
      <c r="AA28" s="17">
        <v>733423507.12083817</v>
      </c>
      <c r="AB28" s="17">
        <v>-1361635797.0326793</v>
      </c>
      <c r="AC28" s="17">
        <v>519281975.08070397</v>
      </c>
      <c r="AD28" s="17">
        <v>2240892031.7093</v>
      </c>
      <c r="AE28" s="17">
        <v>-324394842.81036854</v>
      </c>
      <c r="AF28" s="17">
        <v>1875177864.7886162</v>
      </c>
      <c r="AG28" s="17">
        <v>-420649161.74084282</v>
      </c>
      <c r="AH28" s="17">
        <v>-1345591296.2362909</v>
      </c>
      <c r="AI28" s="17">
        <v>507790181.00111389</v>
      </c>
      <c r="AJ28" s="17">
        <v>993248639.90180397</v>
      </c>
      <c r="AK28" s="17">
        <v>55324112.673589706</v>
      </c>
      <c r="AL28" s="17">
        <v>421602180.7186141</v>
      </c>
      <c r="AM28" s="17">
        <v>1561096467.0683217</v>
      </c>
      <c r="AN28" s="17">
        <v>3032071400.0683198</v>
      </c>
      <c r="AO28" s="17">
        <v>-3036684947.0699711</v>
      </c>
      <c r="AP28" s="17">
        <v>542453840.00454617</v>
      </c>
      <c r="AQ28" s="17">
        <v>1516394434.0022709</v>
      </c>
      <c r="AR28" s="17">
        <v>1711717810.2370672</v>
      </c>
      <c r="AS28" s="17">
        <v>730451570.47588634</v>
      </c>
      <c r="AT28" s="17">
        <v>627003329.65331268</v>
      </c>
      <c r="AU28" s="17"/>
      <c r="AV28" s="17"/>
      <c r="AW28" s="17">
        <v>-782198474.7065084</v>
      </c>
      <c r="AX28" s="17">
        <v>3084245853.6612754</v>
      </c>
      <c r="AY28" s="17">
        <v>1550783021.9782476</v>
      </c>
      <c r="AZ28" s="17">
        <v>1047572752.5753937</v>
      </c>
      <c r="BA28" s="17">
        <v>-2495231107.065424</v>
      </c>
      <c r="BC28" s="17">
        <v>116041770.40098904</v>
      </c>
      <c r="BD28" s="17">
        <v>1721610056.6285961</v>
      </c>
      <c r="BE28" s="17">
        <v>1130133860.2374048</v>
      </c>
      <c r="BF28" s="17">
        <v>1470174933.2940078</v>
      </c>
      <c r="BG28" s="17">
        <v>-978836673.06315303</v>
      </c>
    </row>
    <row r="29" spans="2:59" x14ac:dyDescent="0.25">
      <c r="B29" s="91" t="s">
        <v>255</v>
      </c>
      <c r="C29" s="93"/>
      <c r="D29" s="93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>
        <v>11910575.539999992</v>
      </c>
      <c r="R29" s="17">
        <v>9747200.2799999863</v>
      </c>
      <c r="S29" s="17">
        <v>37706346.413300015</v>
      </c>
      <c r="T29" s="17">
        <v>-572040.7677000165</v>
      </c>
      <c r="U29" s="17">
        <v>18583349.744400002</v>
      </c>
      <c r="V29" s="17">
        <v>102498817.48</v>
      </c>
      <c r="W29" s="17"/>
      <c r="X29" s="17"/>
      <c r="Y29" s="17">
        <v>158216472.87</v>
      </c>
      <c r="Z29" s="17">
        <v>316060894.32499993</v>
      </c>
      <c r="AA29" s="17">
        <v>-315098108.27499998</v>
      </c>
      <c r="AB29" s="17">
        <v>-54937277.381679982</v>
      </c>
      <c r="AC29" s="17">
        <v>-18745136.719999999</v>
      </c>
      <c r="AD29" s="17">
        <v>-72719628.051679999</v>
      </c>
      <c r="AE29" s="17">
        <v>70546420.817999989</v>
      </c>
      <c r="AF29" s="17">
        <v>-14997999.220999993</v>
      </c>
      <c r="AG29" s="17">
        <v>218403.59555964172</v>
      </c>
      <c r="AH29" s="17">
        <v>48476430.466390394</v>
      </c>
      <c r="AI29" s="17">
        <v>104243255.65895003</v>
      </c>
      <c r="AJ29" s="17">
        <v>23506507.822138637</v>
      </c>
      <c r="AK29" s="17">
        <v>33368147.303421877</v>
      </c>
      <c r="AL29" s="17">
        <v>20711309.367539681</v>
      </c>
      <c r="AM29" s="17">
        <v>0</v>
      </c>
      <c r="AN29" s="17">
        <v>0</v>
      </c>
      <c r="AO29" s="17">
        <v>0</v>
      </c>
      <c r="AP29" s="17">
        <v>0</v>
      </c>
      <c r="AQ29" s="17">
        <v>0</v>
      </c>
      <c r="AR29" s="17">
        <v>0</v>
      </c>
      <c r="AS29" s="17">
        <v>0</v>
      </c>
      <c r="AT29" s="17">
        <v>0</v>
      </c>
      <c r="AU29" s="17"/>
      <c r="AV29" s="17"/>
      <c r="AW29" s="17">
        <v>37134305.645599999</v>
      </c>
      <c r="AX29" s="17">
        <v>962786.04999998212</v>
      </c>
      <c r="AY29" s="17">
        <v>55548421.596999995</v>
      </c>
      <c r="AZ29" s="17">
        <v>56874655.125560515</v>
      </c>
      <c r="BA29" s="17">
        <v>0</v>
      </c>
      <c r="BC29" s="17">
        <v>55717655.390000001</v>
      </c>
      <c r="BD29" s="17">
        <v>-53974491.33168</v>
      </c>
      <c r="BE29" s="17">
        <v>55766825.192559637</v>
      </c>
      <c r="BF29" s="17">
        <v>77585964.493100196</v>
      </c>
      <c r="BG29" s="17">
        <v>0</v>
      </c>
    </row>
    <row r="30" spans="2:59" x14ac:dyDescent="0.25">
      <c r="B30" s="91" t="s">
        <v>282</v>
      </c>
      <c r="C30" s="93"/>
      <c r="D30" s="93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>
        <v>0</v>
      </c>
      <c r="R30" s="17">
        <v>4243380.2369999997</v>
      </c>
      <c r="S30" s="17">
        <v>-327220.65799999982</v>
      </c>
      <c r="T30" s="17">
        <v>327220.65799999982</v>
      </c>
      <c r="U30" s="17">
        <v>-4243380.2369999997</v>
      </c>
      <c r="V30" s="17">
        <v>0</v>
      </c>
      <c r="W30" s="17"/>
      <c r="X30" s="17"/>
      <c r="Y30" s="17">
        <v>-4243380.2369999997</v>
      </c>
      <c r="Z30" s="17">
        <v>0</v>
      </c>
      <c r="AA30" s="17">
        <v>0</v>
      </c>
      <c r="AB30" s="17">
        <v>0</v>
      </c>
      <c r="AC30" s="17">
        <v>0</v>
      </c>
      <c r="AD30" s="17">
        <v>0</v>
      </c>
      <c r="AE30" s="17">
        <v>0</v>
      </c>
      <c r="AF30" s="17">
        <v>0</v>
      </c>
      <c r="AG30" s="17">
        <v>0</v>
      </c>
      <c r="AH30" s="17">
        <v>0</v>
      </c>
      <c r="AI30" s="17">
        <v>0</v>
      </c>
      <c r="AJ30" s="17">
        <v>0</v>
      </c>
      <c r="AK30" s="17">
        <v>0</v>
      </c>
      <c r="AL30" s="17">
        <v>0</v>
      </c>
      <c r="AM30" s="17">
        <v>0</v>
      </c>
      <c r="AN30" s="17">
        <v>0</v>
      </c>
      <c r="AO30" s="17">
        <v>0</v>
      </c>
      <c r="AP30" s="17">
        <v>0</v>
      </c>
      <c r="AQ30" s="17">
        <v>0</v>
      </c>
      <c r="AR30" s="17">
        <v>0</v>
      </c>
      <c r="AS30" s="17">
        <v>0</v>
      </c>
      <c r="AT30" s="17">
        <v>0</v>
      </c>
      <c r="AU30" s="17"/>
      <c r="AV30" s="17"/>
      <c r="AW30" s="17">
        <v>0</v>
      </c>
      <c r="AX30" s="17">
        <v>0</v>
      </c>
      <c r="AY30" s="17">
        <v>0</v>
      </c>
      <c r="AZ30" s="17">
        <v>0</v>
      </c>
      <c r="BA30" s="17">
        <v>0</v>
      </c>
      <c r="BC30" s="17">
        <v>-4243380.2369999997</v>
      </c>
      <c r="BD30" s="17">
        <v>0</v>
      </c>
      <c r="BE30" s="17">
        <v>0</v>
      </c>
      <c r="BF30" s="17">
        <v>0</v>
      </c>
      <c r="BG30" s="17">
        <v>0</v>
      </c>
    </row>
    <row r="31" spans="2:59" s="68" customFormat="1" x14ac:dyDescent="0.2">
      <c r="B31" s="94" t="s">
        <v>76</v>
      </c>
      <c r="C31" s="94"/>
      <c r="D31" s="94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21">
        <v>31904714194.063202</v>
      </c>
      <c r="R31" s="21">
        <v>36941887637.287003</v>
      </c>
      <c r="S31" s="21">
        <v>5126458980.2650003</v>
      </c>
      <c r="T31" s="21">
        <v>7341847649.8710623</v>
      </c>
      <c r="U31" s="21">
        <v>9961950223.6470585</v>
      </c>
      <c r="V31" s="21">
        <f>9397793998.82185-10^6</f>
        <v>9396793998.8218498</v>
      </c>
      <c r="W31" s="22"/>
      <c r="X31" s="22"/>
      <c r="Y31" s="21">
        <v>31826638795.436935</v>
      </c>
      <c r="Z31" s="21">
        <v>6596868321.6408224</v>
      </c>
      <c r="AA31" s="21">
        <v>4805962028.4176035</v>
      </c>
      <c r="AB31" s="21">
        <v>11990619116.82654</v>
      </c>
      <c r="AC31" s="21">
        <v>22083453927.669247</v>
      </c>
      <c r="AD31" s="21">
        <v>45476903394.554207</v>
      </c>
      <c r="AE31" s="21">
        <v>7928368012.1042738</v>
      </c>
      <c r="AF31" s="21">
        <v>20569774857.235764</v>
      </c>
      <c r="AG31" s="21">
        <v>22773747150.371513</v>
      </c>
      <c r="AH31" s="21">
        <v>14544154799.191751</v>
      </c>
      <c r="AI31" s="21">
        <v>67656320065.493896</v>
      </c>
      <c r="AJ31" s="21">
        <v>13612597735.063519</v>
      </c>
      <c r="AK31" s="21">
        <v>19155022107.980782</v>
      </c>
      <c r="AL31" s="21">
        <v>18946017218.262943</v>
      </c>
      <c r="AM31" s="21">
        <v>31188353418.65403</v>
      </c>
      <c r="AN31" s="21">
        <f>SUM(AN12:AN30)+AN10+AN9+1*10^6</f>
        <v>72225019974.625076</v>
      </c>
      <c r="AO31" s="21">
        <v>8402592243.7046928</v>
      </c>
      <c r="AP31" s="21">
        <f>SUM(AP9:AP30)-10^6</f>
        <v>20713024470.871578</v>
      </c>
      <c r="AQ31" s="21">
        <f>SUM(AQ9:AQ30)</f>
        <v>18977822535.384869</v>
      </c>
      <c r="AR31" s="21">
        <f>SUM(AR12:AR30)+AR10+AR9-10^6</f>
        <v>23350675719.792652</v>
      </c>
      <c r="AS31" s="21">
        <f>SUM(AS12:AS30)+AS10+AS9</f>
        <v>69786566886.217392</v>
      </c>
      <c r="AT31" s="21">
        <f>SUM(AT12:AT30)+AT10+AT9+1*10^6</f>
        <v>10607562879.737148</v>
      </c>
      <c r="AU31" s="22"/>
      <c r="AV31" s="19"/>
      <c r="AW31" s="21">
        <v>12467979409.478065</v>
      </c>
      <c r="AX31" s="21">
        <v>11402830350.058428</v>
      </c>
      <c r="AY31" s="21">
        <v>28498142869.340019</v>
      </c>
      <c r="AZ31" s="21">
        <v>32767619843.044289</v>
      </c>
      <c r="BA31" s="21">
        <f>SUM(BA9:BA30)</f>
        <v>29115943136.50425</v>
      </c>
      <c r="BC31" s="21">
        <v>22429929633.125084</v>
      </c>
      <c r="BD31" s="21">
        <v>23394449466.884979</v>
      </c>
      <c r="BE31" s="21">
        <v>50169690019.711563</v>
      </c>
      <c r="BF31" s="21">
        <v>51713637061.307236</v>
      </c>
      <c r="BG31" s="21">
        <v>48094003466.816498</v>
      </c>
    </row>
    <row r="32" spans="2:59" x14ac:dyDescent="0.25">
      <c r="B32" s="88" t="s">
        <v>266</v>
      </c>
      <c r="C32" s="88"/>
      <c r="D32" s="88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7">
        <v>-1905172273.0827038</v>
      </c>
      <c r="R32" s="17">
        <v>-1854059955.2485516</v>
      </c>
      <c r="S32" s="17">
        <v>124727520.99990241</v>
      </c>
      <c r="T32" s="17">
        <v>117133251.17999329</v>
      </c>
      <c r="U32" s="17">
        <v>437077807.42000979</v>
      </c>
      <c r="V32" s="17">
        <v>-424699954.2400043</v>
      </c>
      <c r="W32" s="17"/>
      <c r="X32" s="17"/>
      <c r="Y32" s="17">
        <v>254238625.35990122</v>
      </c>
      <c r="Z32" s="17">
        <v>33253583.165506661</v>
      </c>
      <c r="AA32" s="17">
        <v>-448540299.50550348</v>
      </c>
      <c r="AB32" s="17">
        <v>-261423004.07089305</v>
      </c>
      <c r="AC32" s="17">
        <v>-2409911429.795496</v>
      </c>
      <c r="AD32" s="17">
        <v>-3086621150.2063861</v>
      </c>
      <c r="AE32" s="17">
        <v>-360908457.87740016</v>
      </c>
      <c r="AF32" s="17">
        <v>-6881309.5482025146</v>
      </c>
      <c r="AG32" s="17">
        <v>-270790837.08559346</v>
      </c>
      <c r="AH32" s="17">
        <v>-1502530200.8579326</v>
      </c>
      <c r="AI32" s="17">
        <v>-2084242290.8678379</v>
      </c>
      <c r="AJ32" s="17">
        <v>-139566108.40858263</v>
      </c>
      <c r="AK32" s="17">
        <v>-228938367.58138996</v>
      </c>
      <c r="AL32" s="17">
        <v>-96020727.89420712</v>
      </c>
      <c r="AM32" s="17">
        <v>-2829141489.4319811</v>
      </c>
      <c r="AN32" s="17">
        <v>-3293666693.4319811</v>
      </c>
      <c r="AO32" s="17">
        <v>1510212122.8600965</v>
      </c>
      <c r="AP32" s="17">
        <v>-554934978.32717419</v>
      </c>
      <c r="AQ32" s="17">
        <v>-491501268.38532817</v>
      </c>
      <c r="AR32" s="17">
        <v>-2684909371.2615771</v>
      </c>
      <c r="AS32" s="17">
        <v>-2222133495.1139832</v>
      </c>
      <c r="AT32" s="17">
        <v>1267682219.1883867</v>
      </c>
      <c r="AU32" s="17"/>
      <c r="AV32" s="19"/>
      <c r="AW32" s="17">
        <v>241860772.1798957</v>
      </c>
      <c r="AX32" s="17">
        <v>-416286716.33999681</v>
      </c>
      <c r="AY32" s="17">
        <v>-367789767.42560267</v>
      </c>
      <c r="AZ32" s="17">
        <v>-368504475.98997259</v>
      </c>
      <c r="BA32" s="17">
        <v>955277144.53292227</v>
      </c>
      <c r="BC32" s="17">
        <v>678938579.59990549</v>
      </c>
      <c r="BD32" s="17">
        <v>-676709720.41088986</v>
      </c>
      <c r="BE32" s="17">
        <v>-638580604.51119614</v>
      </c>
      <c r="BF32" s="17">
        <v>-464525203.88417971</v>
      </c>
      <c r="BG32" s="17">
        <v>462775876.14759409</v>
      </c>
    </row>
    <row r="33" spans="2:59" x14ac:dyDescent="0.25">
      <c r="B33" s="94" t="s">
        <v>256</v>
      </c>
      <c r="C33" s="94"/>
      <c r="D33" s="95"/>
      <c r="E33" s="96" t="s">
        <v>257</v>
      </c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21">
        <v>29999541920.980499</v>
      </c>
      <c r="R33" s="21">
        <v>35087827682.038498</v>
      </c>
      <c r="S33" s="21">
        <v>5251186501.2649031</v>
      </c>
      <c r="T33" s="21">
        <v>7458980901.0510559</v>
      </c>
      <c r="U33" s="21">
        <v>10399028031.067068</v>
      </c>
      <c r="V33" s="21">
        <f>8973094044.58185-10^6</f>
        <v>8972094044.5818501</v>
      </c>
      <c r="W33" s="22"/>
      <c r="X33" s="22"/>
      <c r="Y33" s="21">
        <v>32080877420.796841</v>
      </c>
      <c r="Z33" s="21">
        <v>6630121904.8063364</v>
      </c>
      <c r="AA33" s="21">
        <v>4357421728.9120884</v>
      </c>
      <c r="AB33" s="21">
        <v>11730196112.755648</v>
      </c>
      <c r="AC33" s="21">
        <v>19672542497.873749</v>
      </c>
      <c r="AD33" s="21">
        <v>42390282244.347824</v>
      </c>
      <c r="AE33" s="21">
        <v>7567459554.2268734</v>
      </c>
      <c r="AF33" s="21">
        <v>20562893547.687561</v>
      </c>
      <c r="AG33" s="21">
        <v>22502956313.285919</v>
      </c>
      <c r="AH33" s="21">
        <v>13040624598.333818</v>
      </c>
      <c r="AI33" s="21">
        <v>65572077774.62606</v>
      </c>
      <c r="AJ33" s="21">
        <v>13473031626.654936</v>
      </c>
      <c r="AK33" s="21">
        <v>18926083740.399391</v>
      </c>
      <c r="AL33" s="21">
        <v>18849996490.368736</v>
      </c>
      <c r="AM33" s="21">
        <v>28359211929.22205</v>
      </c>
      <c r="AN33" s="21">
        <f>SUM(AN31:AN32)</f>
        <v>68931353281.1931</v>
      </c>
      <c r="AO33" s="21">
        <v>9912804366.5647888</v>
      </c>
      <c r="AP33" s="21">
        <f>SUM(AP31:AP32)</f>
        <v>20158089492.544403</v>
      </c>
      <c r="AQ33" s="21">
        <f>SUM(AQ31:AQ32)</f>
        <v>18486321266.999542</v>
      </c>
      <c r="AR33" s="21">
        <f>SUM(AR31:AR32)</f>
        <v>20665766348.531075</v>
      </c>
      <c r="AS33" s="21">
        <f>SUM(AS31:AS32)+1*10^6</f>
        <v>67565433391.103409</v>
      </c>
      <c r="AT33" s="21">
        <f>SUM(AT31:AT32)+1*10^6</f>
        <v>11876245098.925535</v>
      </c>
      <c r="AU33" s="22"/>
      <c r="AV33" s="17"/>
      <c r="AW33" s="21">
        <v>12709840181.657961</v>
      </c>
      <c r="AX33" s="21">
        <v>10986543633.718431</v>
      </c>
      <c r="AY33" s="21">
        <v>28130353101.914417</v>
      </c>
      <c r="AZ33" s="21">
        <v>32399115367.054317</v>
      </c>
      <c r="BA33" s="21">
        <f>BA32+BA31</f>
        <v>30071220281.03717</v>
      </c>
      <c r="BC33" s="21">
        <v>23108918212.724991</v>
      </c>
      <c r="BD33" s="21">
        <v>22716739746.474091</v>
      </c>
      <c r="BE33" s="21">
        <v>49531109415.200363</v>
      </c>
      <c r="BF33" s="21">
        <v>51249111857.423058</v>
      </c>
      <c r="BG33" s="21">
        <f>SUM(BG31:BG32)</f>
        <v>48556779342.964088</v>
      </c>
    </row>
    <row r="34" spans="2:59" x14ac:dyDescent="0.25">
      <c r="B34" s="94"/>
      <c r="C34" s="94"/>
      <c r="D34" s="94"/>
      <c r="E34" s="40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3"/>
      <c r="R34" s="23"/>
      <c r="S34" s="22"/>
      <c r="T34" s="22"/>
      <c r="U34" s="22"/>
      <c r="V34" s="22"/>
      <c r="W34" s="22"/>
      <c r="X34" s="22"/>
      <c r="Y34" s="23"/>
      <c r="Z34" s="22"/>
      <c r="AA34" s="22"/>
      <c r="AB34" s="22"/>
      <c r="AC34" s="22"/>
      <c r="AD34" s="23"/>
      <c r="AE34" s="23"/>
      <c r="AF34" s="23"/>
      <c r="AG34" s="23"/>
      <c r="AH34" s="23"/>
      <c r="AI34" s="22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2"/>
      <c r="AW34" s="22"/>
      <c r="AX34" s="22"/>
      <c r="AY34" s="22"/>
      <c r="AZ34" s="22"/>
      <c r="BA34" s="22"/>
      <c r="BC34" s="22"/>
      <c r="BD34" s="22"/>
      <c r="BE34" s="22"/>
      <c r="BF34" s="22"/>
      <c r="BG34" s="22"/>
    </row>
    <row r="35" spans="2:59" x14ac:dyDescent="0.25">
      <c r="B35" s="94"/>
      <c r="C35" s="94"/>
      <c r="D35" s="94"/>
      <c r="E35" s="40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3"/>
      <c r="R35" s="23"/>
      <c r="S35" s="19"/>
      <c r="T35" s="19"/>
      <c r="U35" s="19"/>
      <c r="V35" s="19"/>
      <c r="W35" s="19"/>
      <c r="X35" s="19"/>
      <c r="Y35" s="23"/>
      <c r="Z35" s="19"/>
      <c r="AA35" s="19"/>
      <c r="AB35" s="19"/>
      <c r="AC35" s="19"/>
      <c r="AD35" s="23"/>
      <c r="AE35" s="23"/>
      <c r="AF35" s="23"/>
      <c r="AG35" s="23"/>
      <c r="AH35" s="23"/>
      <c r="AI35" s="19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19"/>
      <c r="AW35" s="19"/>
      <c r="AX35" s="19"/>
      <c r="AY35" s="19"/>
      <c r="AZ35" s="19"/>
      <c r="BA35" s="19"/>
      <c r="BC35" s="19"/>
      <c r="BD35" s="19"/>
      <c r="BE35" s="19"/>
      <c r="BF35" s="19"/>
      <c r="BG35" s="19"/>
    </row>
    <row r="36" spans="2:59" x14ac:dyDescent="0.25">
      <c r="B36" s="87" t="s">
        <v>77</v>
      </c>
      <c r="C36" s="87"/>
      <c r="D36" s="8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24"/>
      <c r="R36" s="24"/>
      <c r="S36" s="17"/>
      <c r="T36" s="17"/>
      <c r="U36" s="17"/>
      <c r="V36" s="17"/>
      <c r="W36" s="17"/>
      <c r="X36" s="17"/>
      <c r="Y36" s="24"/>
      <c r="Z36" s="17"/>
      <c r="AA36" s="17"/>
      <c r="AB36" s="17"/>
      <c r="AC36" s="17"/>
      <c r="AD36" s="24"/>
      <c r="AE36" s="24"/>
      <c r="AF36" s="24"/>
      <c r="AG36" s="24"/>
      <c r="AH36" s="24"/>
      <c r="AI36" s="17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17"/>
      <c r="AW36" s="17"/>
      <c r="AX36" s="17"/>
      <c r="AY36" s="17"/>
      <c r="AZ36" s="17"/>
      <c r="BA36" s="17"/>
      <c r="BC36" s="17"/>
      <c r="BD36" s="17"/>
      <c r="BE36" s="17"/>
      <c r="BF36" s="17"/>
      <c r="BG36" s="17"/>
    </row>
    <row r="37" spans="2:59" x14ac:dyDescent="0.25">
      <c r="B37" s="245" t="s">
        <v>78</v>
      </c>
      <c r="C37" s="245"/>
      <c r="D37" s="245"/>
      <c r="E37" s="40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>
        <v>-61199198928.889519</v>
      </c>
      <c r="R37" s="17">
        <v>-39298963803.559189</v>
      </c>
      <c r="S37" s="17">
        <v>-1960749790.97856</v>
      </c>
      <c r="T37" s="17">
        <v>-5436858525.2702332</v>
      </c>
      <c r="U37" s="17">
        <v>-7522871734.6771584</v>
      </c>
      <c r="V37" s="17">
        <v>-9561970113.5951042</v>
      </c>
      <c r="W37" s="17"/>
      <c r="X37" s="17"/>
      <c r="Y37" s="17">
        <v>-24482150164.521053</v>
      </c>
      <c r="Z37" s="17">
        <v>-20172401015.778114</v>
      </c>
      <c r="AA37" s="17">
        <v>-27980105020.186775</v>
      </c>
      <c r="AB37" s="17">
        <v>-23877931928.518127</v>
      </c>
      <c r="AC37" s="17">
        <v>-17799930359.061005</v>
      </c>
      <c r="AD37" s="17">
        <v>-89830368323.544022</v>
      </c>
      <c r="AE37" s="17">
        <v>-24243462425.032749</v>
      </c>
      <c r="AF37" s="17">
        <v>-18317451820.499996</v>
      </c>
      <c r="AG37" s="17">
        <v>-24827802464.840584</v>
      </c>
      <c r="AH37" s="17">
        <v>-20988695310.238579</v>
      </c>
      <c r="AI37" s="17">
        <v>-86363760283.199539</v>
      </c>
      <c r="AJ37" s="17">
        <v>-34916732284.723549</v>
      </c>
      <c r="AK37" s="17">
        <v>-40779257096.642296</v>
      </c>
      <c r="AL37" s="17">
        <v>-43229221747.132202</v>
      </c>
      <c r="AM37" s="17">
        <v>-45589623321.335419</v>
      </c>
      <c r="AN37" s="17">
        <v>-153839188867.12952</v>
      </c>
      <c r="AO37" s="17">
        <v>-36305857962.872139</v>
      </c>
      <c r="AP37" s="17">
        <v>-20608142122.895523</v>
      </c>
      <c r="AQ37" s="17">
        <v>-18886142528.121468</v>
      </c>
      <c r="AR37" s="17">
        <v>-19517831047.719391</v>
      </c>
      <c r="AS37" s="17">
        <v>-93659163425.228012</v>
      </c>
      <c r="AT37" s="17">
        <v>-5103231134.4516726</v>
      </c>
      <c r="AU37" s="17"/>
      <c r="AV37" s="17"/>
      <c r="AW37" s="17">
        <v>-7397608316.2487926</v>
      </c>
      <c r="AX37" s="17">
        <v>-48151506035.96489</v>
      </c>
      <c r="AY37" s="17">
        <v>-42560914245.532745</v>
      </c>
      <c r="AZ37" s="17">
        <v>-75695989381.365845</v>
      </c>
      <c r="BA37" s="17">
        <v>-56914000085.767662</v>
      </c>
      <c r="BC37" s="17">
        <v>-14921480050.925949</v>
      </c>
      <c r="BD37" s="17">
        <v>-72030437964.483017</v>
      </c>
      <c r="BE37" s="17">
        <v>-62374716710.373283</v>
      </c>
      <c r="BF37" s="17">
        <v>-118925211128.49805</v>
      </c>
      <c r="BG37" s="17">
        <v>-75800142613.88913</v>
      </c>
    </row>
    <row r="38" spans="2:59" ht="30" x14ac:dyDescent="0.25">
      <c r="B38" s="93" t="s">
        <v>293</v>
      </c>
      <c r="C38" s="93"/>
      <c r="D38" s="93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>
        <v>0</v>
      </c>
      <c r="R38" s="17">
        <v>219185625.18623701</v>
      </c>
      <c r="S38" s="17">
        <v>0</v>
      </c>
      <c r="T38" s="17">
        <v>0</v>
      </c>
      <c r="U38" s="17">
        <v>0</v>
      </c>
      <c r="V38" s="17"/>
      <c r="W38" s="17"/>
      <c r="X38" s="17"/>
      <c r="Y38" s="17">
        <v>0</v>
      </c>
      <c r="Z38" s="17">
        <v>2197245.6899999995</v>
      </c>
      <c r="AA38" s="17">
        <v>5293382.32</v>
      </c>
      <c r="AB38" s="17">
        <v>106979743.27999997</v>
      </c>
      <c r="AC38" s="17">
        <v>20167140.549999982</v>
      </c>
      <c r="AD38" s="17">
        <v>133637511.83999996</v>
      </c>
      <c r="AE38" s="17">
        <v>6724226.54</v>
      </c>
      <c r="AF38" s="17">
        <v>0</v>
      </c>
      <c r="AG38" s="17">
        <v>31458485.609999999</v>
      </c>
      <c r="AH38" s="17">
        <v>17895193.640000001</v>
      </c>
      <c r="AI38" s="17">
        <v>56077905.789999962</v>
      </c>
      <c r="AJ38" s="17">
        <v>5090.75</v>
      </c>
      <c r="AK38" s="17">
        <v>36269.54</v>
      </c>
      <c r="AL38" s="17">
        <v>9901</v>
      </c>
      <c r="AM38" s="17">
        <v>1212633.47</v>
      </c>
      <c r="AN38" s="17">
        <v>1263894.47</v>
      </c>
      <c r="AO38" s="17">
        <v>0</v>
      </c>
      <c r="AP38" s="17">
        <v>4291498.7999999989</v>
      </c>
      <c r="AQ38" s="17">
        <v>-4342759.7999999989</v>
      </c>
      <c r="AR38" s="17">
        <v>0</v>
      </c>
      <c r="AS38" s="17">
        <v>0</v>
      </c>
      <c r="AT38" s="17">
        <v>5371231.3399999999</v>
      </c>
      <c r="AU38" s="17"/>
      <c r="AV38" s="17"/>
      <c r="AW38" s="17">
        <v>0</v>
      </c>
      <c r="AX38" s="17">
        <v>7490628.0099999998</v>
      </c>
      <c r="AY38" s="17">
        <v>6724226.54</v>
      </c>
      <c r="AZ38" s="17">
        <v>41360.29</v>
      </c>
      <c r="BA38" s="17">
        <v>4342759.7999999989</v>
      </c>
      <c r="BC38" s="17">
        <v>0</v>
      </c>
      <c r="BD38" s="17">
        <v>114470371.28999998</v>
      </c>
      <c r="BE38" s="17">
        <v>38182712.149999999</v>
      </c>
      <c r="BF38" s="17">
        <v>51261.29</v>
      </c>
      <c r="BG38" s="17">
        <v>0</v>
      </c>
    </row>
    <row r="39" spans="2:59" x14ac:dyDescent="0.25">
      <c r="B39" s="92" t="s">
        <v>269</v>
      </c>
      <c r="C39" s="92"/>
      <c r="D39" s="92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>
        <v>-2621943910.2399988</v>
      </c>
      <c r="R39" s="17">
        <v>-15867824373.92</v>
      </c>
      <c r="S39" s="17">
        <v>-817070289.57999611</v>
      </c>
      <c r="T39" s="17">
        <v>4786020441.5699978</v>
      </c>
      <c r="U39" s="17">
        <v>1025711458.3899956</v>
      </c>
      <c r="V39" s="17">
        <v>-3546754179.9099975</v>
      </c>
      <c r="W39" s="17"/>
      <c r="X39" s="17"/>
      <c r="Y39" s="17">
        <v>1447907430.4699998</v>
      </c>
      <c r="Z39" s="17">
        <v>-7779762104.5999985</v>
      </c>
      <c r="AA39" s="17">
        <v>-11360591073.090008</v>
      </c>
      <c r="AB39" s="17">
        <v>2717323757.0600071</v>
      </c>
      <c r="AC39" s="17">
        <v>-8345578732.4699993</v>
      </c>
      <c r="AD39" s="17">
        <v>-24769608153.099998</v>
      </c>
      <c r="AE39" s="17">
        <v>10053794830.710001</v>
      </c>
      <c r="AF39" s="17">
        <v>11304291129.000002</v>
      </c>
      <c r="AG39" s="17">
        <v>-14530990898.59</v>
      </c>
      <c r="AH39" s="17">
        <v>5931293767.7599926</v>
      </c>
      <c r="AI39" s="17">
        <v>12758388828.879995</v>
      </c>
      <c r="AJ39" s="17">
        <v>-12104031328.699997</v>
      </c>
      <c r="AK39" s="17">
        <f>-8381*10^6</f>
        <v>-8381000000</v>
      </c>
      <c r="AL39" s="17">
        <v>2190096233.6300702</v>
      </c>
      <c r="AM39" s="17">
        <v>1297169904.0615234</v>
      </c>
      <c r="AN39" s="17">
        <f>-443703765188.261+426705579946.322</f>
        <v>-16998185241.938965</v>
      </c>
      <c r="AO39" s="17">
        <f>-4980497018.604-10^6</f>
        <v>-4981497018.6040001</v>
      </c>
      <c r="AP39" s="17">
        <v>539000000</v>
      </c>
      <c r="AQ39" s="17">
        <v>-3065524772.4499817</v>
      </c>
      <c r="AR39" s="17">
        <f>-93851882276.1316+112993031969.882</f>
        <v>19141149693.750397</v>
      </c>
      <c r="AS39" s="17">
        <v>11632522137.978516</v>
      </c>
      <c r="AT39" s="17">
        <v>-8284058606.0052643</v>
      </c>
      <c r="AU39" s="17"/>
      <c r="AV39" s="17"/>
      <c r="AW39" s="17">
        <v>3968950151.9900017</v>
      </c>
      <c r="AX39" s="17">
        <v>-19141353177.690006</v>
      </c>
      <c r="AY39" s="17">
        <v>21358085959.710003</v>
      </c>
      <c r="AZ39" s="17">
        <f>-20485*10^6</f>
        <v>-20485000000</v>
      </c>
      <c r="BA39" s="17">
        <v>-4442000000</v>
      </c>
      <c r="BC39" s="17">
        <v>4994661610.3799973</v>
      </c>
      <c r="BD39" s="17">
        <v>-16424029420.629999</v>
      </c>
      <c r="BE39" s="17">
        <v>6827095061.1200027</v>
      </c>
      <c r="BF39" s="17">
        <v>-18296355146.859901</v>
      </c>
      <c r="BG39" s="17">
        <v>-7507627555.7714539</v>
      </c>
    </row>
    <row r="40" spans="2:59" x14ac:dyDescent="0.25">
      <c r="B40" s="92" t="s">
        <v>364</v>
      </c>
      <c r="C40" s="92"/>
      <c r="D40" s="92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>
        <v>0</v>
      </c>
      <c r="R40" s="17">
        <v>0</v>
      </c>
      <c r="S40" s="17">
        <v>0</v>
      </c>
      <c r="T40" s="17">
        <v>0</v>
      </c>
      <c r="U40" s="17">
        <v>0</v>
      </c>
      <c r="V40" s="17">
        <v>0</v>
      </c>
      <c r="W40" s="17">
        <v>0</v>
      </c>
      <c r="X40" s="17">
        <v>0</v>
      </c>
      <c r="Y40" s="17">
        <v>0</v>
      </c>
      <c r="Z40" s="17">
        <v>0</v>
      </c>
      <c r="AA40" s="17">
        <v>0</v>
      </c>
      <c r="AB40" s="17">
        <v>0</v>
      </c>
      <c r="AC40" s="17">
        <v>0</v>
      </c>
      <c r="AD40" s="17">
        <v>0</v>
      </c>
      <c r="AE40" s="17">
        <v>18564476</v>
      </c>
      <c r="AF40" s="17">
        <v>0</v>
      </c>
      <c r="AG40" s="17">
        <v>0</v>
      </c>
      <c r="AH40" s="17">
        <v>0</v>
      </c>
      <c r="AI40" s="17">
        <v>18601610.680000305</v>
      </c>
      <c r="AJ40" s="17">
        <v>1114730212</v>
      </c>
      <c r="AK40" s="17">
        <v>0</v>
      </c>
      <c r="AL40" s="17">
        <v>0</v>
      </c>
      <c r="AM40" s="17">
        <v>4995019.121999979</v>
      </c>
      <c r="AN40" s="17">
        <v>1120254911.122</v>
      </c>
      <c r="AO40" s="17">
        <v>226752828.90000004</v>
      </c>
      <c r="AP40" s="17">
        <v>416193612.24999994</v>
      </c>
      <c r="AQ40" s="17">
        <v>0</v>
      </c>
      <c r="AR40" s="17">
        <v>0</v>
      </c>
      <c r="AS40" s="17">
        <v>641721744.1500001</v>
      </c>
      <c r="AT40" s="17">
        <v>-255695324.04999995</v>
      </c>
      <c r="AU40" s="17"/>
      <c r="AV40" s="17"/>
      <c r="AW40" s="17"/>
      <c r="AX40" s="17"/>
      <c r="AY40" s="17">
        <v>18564476</v>
      </c>
      <c r="AZ40" s="17">
        <v>1114730211.9999993</v>
      </c>
      <c r="BA40" s="17">
        <v>642946441.14999998</v>
      </c>
      <c r="BC40" s="17">
        <v>0</v>
      </c>
      <c r="BD40" s="17">
        <v>0</v>
      </c>
      <c r="BE40" s="17">
        <v>18564476</v>
      </c>
      <c r="BF40" s="17">
        <v>1115259892.1023698</v>
      </c>
      <c r="BG40" s="17">
        <v>642946441.14999998</v>
      </c>
    </row>
    <row r="41" spans="2:59" x14ac:dyDescent="0.25">
      <c r="B41" s="92" t="s">
        <v>289</v>
      </c>
      <c r="C41" s="92"/>
      <c r="D41" s="92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>
        <v>9540309519.9325886</v>
      </c>
      <c r="R41" s="17">
        <v>0</v>
      </c>
      <c r="S41" s="17"/>
      <c r="T41" s="17">
        <v>0</v>
      </c>
      <c r="U41" s="17">
        <v>0</v>
      </c>
      <c r="V41" s="17"/>
      <c r="W41" s="17"/>
      <c r="X41" s="17"/>
      <c r="Y41" s="17">
        <v>0</v>
      </c>
      <c r="Z41" s="17">
        <v>0</v>
      </c>
      <c r="AA41" s="17">
        <v>0</v>
      </c>
      <c r="AB41" s="17">
        <v>0</v>
      </c>
      <c r="AC41" s="17">
        <v>0</v>
      </c>
      <c r="AD41" s="17">
        <v>0</v>
      </c>
      <c r="AE41" s="17">
        <v>0</v>
      </c>
      <c r="AF41" s="17">
        <v>0</v>
      </c>
      <c r="AG41" s="17">
        <v>0</v>
      </c>
      <c r="AH41" s="17">
        <v>0</v>
      </c>
      <c r="AI41" s="17">
        <v>0</v>
      </c>
      <c r="AJ41" s="17">
        <v>0</v>
      </c>
      <c r="AK41" s="17">
        <v>0</v>
      </c>
      <c r="AL41" s="17">
        <v>0</v>
      </c>
      <c r="AM41" s="17">
        <v>0</v>
      </c>
      <c r="AN41" s="17">
        <v>0</v>
      </c>
      <c r="AO41" s="17">
        <v>0</v>
      </c>
      <c r="AP41" s="17">
        <v>0</v>
      </c>
      <c r="AQ41" s="17">
        <v>0</v>
      </c>
      <c r="AR41" s="17">
        <v>0</v>
      </c>
      <c r="AS41" s="17"/>
      <c r="AT41" s="17">
        <v>0</v>
      </c>
      <c r="AU41" s="17"/>
      <c r="AV41" s="17"/>
      <c r="AW41" s="17">
        <v>0</v>
      </c>
      <c r="AX41" s="17">
        <v>0</v>
      </c>
      <c r="AY41" s="17">
        <v>0</v>
      </c>
      <c r="AZ41" s="17">
        <v>0</v>
      </c>
      <c r="BA41" s="17">
        <v>0</v>
      </c>
      <c r="BC41" s="17">
        <v>0</v>
      </c>
      <c r="BD41" s="17">
        <v>0</v>
      </c>
      <c r="BE41" s="17">
        <v>0</v>
      </c>
      <c r="BF41" s="17">
        <v>0</v>
      </c>
      <c r="BG41" s="17">
        <v>0</v>
      </c>
    </row>
    <row r="42" spans="2:59" x14ac:dyDescent="0.25">
      <c r="B42" s="92" t="s">
        <v>290</v>
      </c>
      <c r="C42" s="92"/>
      <c r="D42" s="92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>
        <v>-941412429.31139052</v>
      </c>
      <c r="R42" s="17">
        <v>-762254660.82137489</v>
      </c>
      <c r="S42" s="17"/>
      <c r="T42" s="17">
        <v>0</v>
      </c>
      <c r="U42" s="17">
        <v>0</v>
      </c>
      <c r="V42" s="17"/>
      <c r="W42" s="17"/>
      <c r="X42" s="17"/>
      <c r="Y42" s="17">
        <v>0</v>
      </c>
      <c r="Z42" s="17">
        <v>0</v>
      </c>
      <c r="AA42" s="17">
        <v>0</v>
      </c>
      <c r="AB42" s="17">
        <v>0</v>
      </c>
      <c r="AC42" s="17">
        <v>0</v>
      </c>
      <c r="AD42" s="17">
        <v>0</v>
      </c>
      <c r="AE42" s="17">
        <v>0</v>
      </c>
      <c r="AF42" s="17">
        <v>-30300260.999999925</v>
      </c>
      <c r="AG42" s="17">
        <v>0</v>
      </c>
      <c r="AH42" s="17">
        <v>0</v>
      </c>
      <c r="AI42" s="17">
        <v>-29800469.680000037</v>
      </c>
      <c r="AJ42" s="17">
        <v>-223215061.29870009</v>
      </c>
      <c r="AK42" s="17">
        <v>-222176324.31919992</v>
      </c>
      <c r="AL42" s="17">
        <v>-592724481.75279987</v>
      </c>
      <c r="AM42" s="17">
        <v>-600414172.55730009</v>
      </c>
      <c r="AN42" s="17">
        <v>-1637530039.5573001</v>
      </c>
      <c r="AO42" s="17">
        <v>0</v>
      </c>
      <c r="AP42" s="17">
        <v>-44.301899999380112</v>
      </c>
      <c r="AQ42" s="17">
        <v>-181.2609999999404</v>
      </c>
      <c r="AR42" s="17">
        <v>0</v>
      </c>
      <c r="AS42" s="17">
        <v>0</v>
      </c>
      <c r="AT42" s="17">
        <v>0</v>
      </c>
      <c r="AU42" s="17"/>
      <c r="AV42" s="17"/>
      <c r="AW42" s="17">
        <v>0</v>
      </c>
      <c r="AX42" s="17">
        <v>0</v>
      </c>
      <c r="AY42" s="17">
        <v>-30300260.999999925</v>
      </c>
      <c r="AZ42" s="17">
        <v>-445391385.61790001</v>
      </c>
      <c r="BA42" s="17">
        <v>0</v>
      </c>
      <c r="BC42" s="17">
        <v>0</v>
      </c>
      <c r="BD42" s="17">
        <v>0</v>
      </c>
      <c r="BE42" s="17">
        <v>-30300384.699999928</v>
      </c>
      <c r="BF42" s="17">
        <v>-1038115867.3706999</v>
      </c>
      <c r="BG42" s="17">
        <v>-225.56289999932051</v>
      </c>
    </row>
    <row r="43" spans="2:59" x14ac:dyDescent="0.25">
      <c r="B43" s="92" t="s">
        <v>294</v>
      </c>
      <c r="C43" s="92"/>
      <c r="D43" s="92"/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3597257259.2764659</v>
      </c>
      <c r="W43" s="17"/>
      <c r="X43" s="17"/>
      <c r="Y43" s="17">
        <v>3597257259.2764659</v>
      </c>
      <c r="Z43" s="17">
        <v>0</v>
      </c>
      <c r="AA43" s="17">
        <v>0</v>
      </c>
      <c r="AB43" s="17">
        <v>0</v>
      </c>
      <c r="AC43" s="17">
        <v>4764994064.2299995</v>
      </c>
      <c r="AD43" s="17">
        <v>4764994064.2299995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1314594909.9400001</v>
      </c>
      <c r="AL43" s="17">
        <v>401943132.26986885</v>
      </c>
      <c r="AM43" s="17">
        <v>4024460797.4098206</v>
      </c>
      <c r="AN43" s="17">
        <v>5740998839.4098206</v>
      </c>
      <c r="AO43" s="17">
        <v>0</v>
      </c>
      <c r="AP43" s="17">
        <v>4171085</v>
      </c>
      <c r="AQ43" s="17"/>
      <c r="AR43" s="17">
        <v>4772842276.671793</v>
      </c>
      <c r="AS43" s="17">
        <v>4777013361.671793</v>
      </c>
      <c r="AT43" s="17">
        <v>-1151571930.3475547</v>
      </c>
      <c r="AU43" s="17"/>
      <c r="AW43" s="17">
        <v>0</v>
      </c>
      <c r="AX43" s="17">
        <v>0</v>
      </c>
      <c r="AY43" s="17">
        <v>0</v>
      </c>
      <c r="AZ43" s="17">
        <v>1314594909.9400001</v>
      </c>
      <c r="BA43" s="17">
        <v>4171085</v>
      </c>
      <c r="BC43" s="17">
        <v>0</v>
      </c>
      <c r="BD43" s="17">
        <v>0</v>
      </c>
      <c r="BE43" s="17">
        <v>0</v>
      </c>
      <c r="BF43" s="17">
        <v>1716538042.2098689</v>
      </c>
      <c r="BG43" s="17">
        <v>4171085</v>
      </c>
    </row>
    <row r="44" spans="2:59" x14ac:dyDescent="0.25">
      <c r="B44" s="92" t="s">
        <v>79</v>
      </c>
      <c r="C44" s="92"/>
      <c r="D44" s="92"/>
      <c r="E44" s="40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>
        <v>0</v>
      </c>
      <c r="R44" s="17">
        <v>0</v>
      </c>
      <c r="S44" s="17"/>
      <c r="T44" s="17">
        <v>-33646673.185435422</v>
      </c>
      <c r="U44" s="17">
        <v>0</v>
      </c>
      <c r="V44" s="17"/>
      <c r="W44" s="17"/>
      <c r="X44" s="17"/>
      <c r="Y44" s="17">
        <v>-34379277.609999992</v>
      </c>
      <c r="Z44" s="17">
        <v>0</v>
      </c>
      <c r="AA44" s="17">
        <v>-9540437184</v>
      </c>
      <c r="AB44" s="17">
        <v>-6388942108.0000076</v>
      </c>
      <c r="AC44" s="17">
        <v>0</v>
      </c>
      <c r="AD44" s="17">
        <v>-15929379292.000008</v>
      </c>
      <c r="AE44" s="17">
        <v>-90000000</v>
      </c>
      <c r="AF44" s="17">
        <v>0</v>
      </c>
      <c r="AG44" s="17">
        <v>0</v>
      </c>
      <c r="AH44" s="17">
        <v>0</v>
      </c>
      <c r="AI44" s="17">
        <v>-90000000</v>
      </c>
      <c r="AJ44" s="17">
        <v>0</v>
      </c>
      <c r="AK44" s="17">
        <v>0</v>
      </c>
      <c r="AL44" s="17">
        <v>0</v>
      </c>
      <c r="AM44" s="17">
        <v>0</v>
      </c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/>
      <c r="AT44" s="17">
        <v>0</v>
      </c>
      <c r="AU44" s="17"/>
      <c r="AV44" s="17"/>
      <c r="AW44" s="17">
        <v>-33646673.185435422</v>
      </c>
      <c r="AX44" s="17">
        <v>-9540437184</v>
      </c>
      <c r="AY44" s="17">
        <v>-90000000</v>
      </c>
      <c r="AZ44" s="17">
        <v>0</v>
      </c>
      <c r="BA44" s="17">
        <v>0</v>
      </c>
      <c r="BC44" s="17">
        <v>-34379277.613926619</v>
      </c>
      <c r="BD44" s="17">
        <v>-15929379292.000008</v>
      </c>
      <c r="BE44" s="17">
        <v>-90000000</v>
      </c>
      <c r="BF44" s="17">
        <v>0</v>
      </c>
      <c r="BG44" s="17">
        <v>0</v>
      </c>
    </row>
    <row r="45" spans="2:59" x14ac:dyDescent="0.25">
      <c r="B45" s="92" t="s">
        <v>80</v>
      </c>
      <c r="C45" s="92"/>
      <c r="D45" s="92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>
        <v>495509327.0000003</v>
      </c>
      <c r="R45" s="17">
        <v>54307281.99999965</v>
      </c>
      <c r="S45" s="17">
        <v>0</v>
      </c>
      <c r="T45" s="17">
        <v>0</v>
      </c>
      <c r="U45" s="17">
        <v>25915714.970000014</v>
      </c>
      <c r="V45" s="17">
        <v>0</v>
      </c>
      <c r="W45" s="17"/>
      <c r="X45" s="17"/>
      <c r="Y45" s="17">
        <v>26104978.280000001</v>
      </c>
      <c r="Z45" s="17">
        <v>40398555.159999996</v>
      </c>
      <c r="AA45" s="17">
        <v>33589303.140000015</v>
      </c>
      <c r="AB45" s="17">
        <v>137749.69999998808</v>
      </c>
      <c r="AC45" s="17">
        <v>0</v>
      </c>
      <c r="AD45" s="17">
        <v>74125608.00000003</v>
      </c>
      <c r="AE45" s="17">
        <v>0</v>
      </c>
      <c r="AF45" s="17">
        <v>0</v>
      </c>
      <c r="AG45" s="17">
        <v>0</v>
      </c>
      <c r="AH45" s="17">
        <v>0</v>
      </c>
      <c r="AI45" s="17">
        <v>0</v>
      </c>
      <c r="AJ45" s="17">
        <v>0</v>
      </c>
      <c r="AK45" s="17">
        <v>-2.4214386940002441E-8</v>
      </c>
      <c r="AL45" s="17">
        <v>1.862645149230957E-8</v>
      </c>
      <c r="AM45" s="17">
        <v>0</v>
      </c>
      <c r="AN45" s="17">
        <v>0</v>
      </c>
      <c r="AO45" s="17">
        <v>0</v>
      </c>
      <c r="AP45" s="17">
        <v>0</v>
      </c>
      <c r="AQ45" s="17">
        <v>0</v>
      </c>
      <c r="AR45" s="17">
        <v>0</v>
      </c>
      <c r="AS45" s="17"/>
      <c r="AT45" s="17">
        <v>0</v>
      </c>
      <c r="AU45" s="17"/>
      <c r="AV45" s="17"/>
      <c r="AW45" s="17">
        <v>0</v>
      </c>
      <c r="AX45" s="17">
        <v>73987858.300000012</v>
      </c>
      <c r="AY45" s="17">
        <v>0</v>
      </c>
      <c r="AZ45" s="17">
        <v>-2.4214386940002441E-8</v>
      </c>
      <c r="BA45" s="17">
        <v>0</v>
      </c>
      <c r="BC45" s="17">
        <v>25915714.970000014</v>
      </c>
      <c r="BD45" s="17">
        <v>74125608</v>
      </c>
      <c r="BE45" s="17">
        <v>0</v>
      </c>
      <c r="BF45" s="17">
        <v>0</v>
      </c>
      <c r="BG45" s="17">
        <v>0</v>
      </c>
    </row>
    <row r="46" spans="2:59" x14ac:dyDescent="0.25">
      <c r="B46" s="92" t="s">
        <v>295</v>
      </c>
      <c r="C46" s="92"/>
      <c r="D46" s="92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>
        <v>0</v>
      </c>
      <c r="R46" s="17">
        <v>0</v>
      </c>
      <c r="S46" s="17">
        <v>0</v>
      </c>
      <c r="T46" s="17">
        <v>0</v>
      </c>
      <c r="U46" s="17">
        <v>0</v>
      </c>
      <c r="V46" s="17">
        <v>46359094.649999999</v>
      </c>
      <c r="W46" s="17"/>
      <c r="X46" s="17"/>
      <c r="Y46" s="17">
        <v>46359094.649999999</v>
      </c>
      <c r="Z46" s="17">
        <v>0</v>
      </c>
      <c r="AA46" s="17">
        <v>0</v>
      </c>
      <c r="AB46" s="17">
        <v>0</v>
      </c>
      <c r="AC46" s="17">
        <v>0</v>
      </c>
      <c r="AD46" s="17">
        <v>0</v>
      </c>
      <c r="AE46" s="17">
        <v>0</v>
      </c>
      <c r="AF46" s="17">
        <v>0</v>
      </c>
      <c r="AG46" s="17">
        <v>0</v>
      </c>
      <c r="AH46" s="17">
        <v>0</v>
      </c>
      <c r="AI46" s="17">
        <v>0</v>
      </c>
      <c r="AJ46" s="17">
        <v>0</v>
      </c>
      <c r="AK46" s="17">
        <v>0</v>
      </c>
      <c r="AL46" s="17">
        <v>0</v>
      </c>
      <c r="AM46" s="17">
        <v>0</v>
      </c>
      <c r="AN46" s="17">
        <v>0</v>
      </c>
      <c r="AO46" s="17">
        <v>0</v>
      </c>
      <c r="AP46" s="17">
        <v>0</v>
      </c>
      <c r="AQ46" s="17">
        <v>0</v>
      </c>
      <c r="AR46" s="17">
        <v>0</v>
      </c>
      <c r="AS46" s="17"/>
      <c r="AT46" s="17">
        <v>0</v>
      </c>
      <c r="AU46" s="17"/>
      <c r="AV46" s="17"/>
      <c r="AW46" s="17">
        <v>0</v>
      </c>
      <c r="AX46" s="17">
        <v>0</v>
      </c>
      <c r="AY46" s="17">
        <v>0</v>
      </c>
      <c r="AZ46" s="17">
        <v>0</v>
      </c>
      <c r="BA46" s="17">
        <v>0</v>
      </c>
      <c r="BC46" s="17">
        <v>0</v>
      </c>
      <c r="BD46" s="17">
        <v>0</v>
      </c>
      <c r="BE46" s="17">
        <v>0</v>
      </c>
      <c r="BF46" s="17">
        <v>0</v>
      </c>
      <c r="BG46" s="17">
        <v>0</v>
      </c>
    </row>
    <row r="47" spans="2:59" x14ac:dyDescent="0.25">
      <c r="B47" s="88" t="s">
        <v>81</v>
      </c>
      <c r="C47" s="88"/>
      <c r="D47" s="88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>
        <v>1317605022.6383653</v>
      </c>
      <c r="R47" s="17">
        <v>1932303965.9899995</v>
      </c>
      <c r="S47" s="17">
        <v>300230182.69102955</v>
      </c>
      <c r="T47" s="17">
        <v>930957930.06400084</v>
      </c>
      <c r="U47" s="17">
        <v>575421645.32299995</v>
      </c>
      <c r="V47" s="17">
        <v>181132837.37000084</v>
      </c>
      <c r="W47" s="17"/>
      <c r="X47" s="17"/>
      <c r="Y47" s="17">
        <v>1986742595.4480312</v>
      </c>
      <c r="Z47" s="17">
        <v>223793787.9430002</v>
      </c>
      <c r="AA47" s="17">
        <v>470396856.06001496</v>
      </c>
      <c r="AB47" s="17">
        <v>87234878.891998887</v>
      </c>
      <c r="AC47" s="17">
        <v>978433356.53299785</v>
      </c>
      <c r="AD47" s="17">
        <v>1758858879.4280119</v>
      </c>
      <c r="AE47" s="17">
        <v>545259975.47836637</v>
      </c>
      <c r="AF47" s="17">
        <v>91718369.688323259</v>
      </c>
      <c r="AG47" s="17">
        <v>1262551015.7189395</v>
      </c>
      <c r="AH47" s="17">
        <v>191676410.61408806</v>
      </c>
      <c r="AI47" s="17">
        <v>2092205771.4997172</v>
      </c>
      <c r="AJ47" s="17">
        <v>772994279.85970199</v>
      </c>
      <c r="AK47" s="17">
        <v>761733058.96142328</v>
      </c>
      <c r="AL47" s="17">
        <v>842865303.22606683</v>
      </c>
      <c r="AM47" s="17">
        <v>1227652216.5363417</v>
      </c>
      <c r="AN47" s="17">
        <v>3606244858.5363417</v>
      </c>
      <c r="AO47" s="17">
        <v>702731773.19997919</v>
      </c>
      <c r="AP47" s="17">
        <v>1012941164.298097</v>
      </c>
      <c r="AQ47" s="17">
        <v>841900273.47402668</v>
      </c>
      <c r="AR47" s="17">
        <v>1580979153.5286479</v>
      </c>
      <c r="AS47" s="17">
        <v>4138552364.5007505</v>
      </c>
      <c r="AT47" s="17">
        <v>799283097.8402009</v>
      </c>
      <c r="AU47" s="17"/>
      <c r="AV47" s="17"/>
      <c r="AW47" s="17">
        <v>1231188112.7550304</v>
      </c>
      <c r="AX47" s="17">
        <v>694190644.00301516</v>
      </c>
      <c r="AY47" s="17">
        <v>636978345.16668963</v>
      </c>
      <c r="AZ47" s="17">
        <v>1534727338.8211253</v>
      </c>
      <c r="BA47" s="17">
        <v>1715672937.498076</v>
      </c>
      <c r="BC47" s="17">
        <v>1805609758.0780303</v>
      </c>
      <c r="BD47" s="17">
        <v>781425522.89501405</v>
      </c>
      <c r="BE47" s="17">
        <v>1899529360.8856292</v>
      </c>
      <c r="BF47" s="17">
        <v>2377592642.0471921</v>
      </c>
      <c r="BG47" s="17">
        <v>2557573210.9721026</v>
      </c>
    </row>
    <row r="48" spans="2:59" x14ac:dyDescent="0.25">
      <c r="B48" s="88" t="s">
        <v>317</v>
      </c>
      <c r="C48" s="88"/>
      <c r="D48" s="88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>
        <v>0</v>
      </c>
      <c r="R48" s="17">
        <v>0</v>
      </c>
      <c r="S48" s="17">
        <v>0</v>
      </c>
      <c r="T48" s="17">
        <v>0</v>
      </c>
      <c r="U48" s="17">
        <v>0</v>
      </c>
      <c r="V48" s="17">
        <v>0</v>
      </c>
      <c r="W48" s="17"/>
      <c r="X48" s="17"/>
      <c r="Y48" s="17">
        <v>0</v>
      </c>
      <c r="Z48" s="17">
        <v>0</v>
      </c>
      <c r="AA48" s="17">
        <v>0</v>
      </c>
      <c r="AB48" s="17">
        <v>-950000000</v>
      </c>
      <c r="AC48" s="17">
        <v>0</v>
      </c>
      <c r="AD48" s="17">
        <v>-950000000</v>
      </c>
      <c r="AE48" s="17">
        <v>0</v>
      </c>
      <c r="AF48" s="17">
        <v>0</v>
      </c>
      <c r="AG48" s="17">
        <v>0</v>
      </c>
      <c r="AH48" s="17">
        <v>-54765312</v>
      </c>
      <c r="AI48" s="17">
        <v>-54765312</v>
      </c>
      <c r="AJ48" s="17">
        <v>0</v>
      </c>
      <c r="AK48" s="17">
        <v>-107656329.59999999</v>
      </c>
      <c r="AL48" s="17">
        <v>-13235496.304299876</v>
      </c>
      <c r="AM48" s="17">
        <v>-119542389.82859999</v>
      </c>
      <c r="AN48" s="17">
        <v>-228198719.82859999</v>
      </c>
      <c r="AO48" s="17">
        <v>-22064282.311401978</v>
      </c>
      <c r="AP48" s="17">
        <v>-101548639.50098094</v>
      </c>
      <c r="AQ48" s="17">
        <v>-23872784.677456096</v>
      </c>
      <c r="AR48" s="17">
        <v>33446610.31336844</v>
      </c>
      <c r="AS48" s="17">
        <v>-291839570.35233104</v>
      </c>
      <c r="AT48" s="17">
        <v>-20203646.561862011</v>
      </c>
      <c r="AU48" s="17"/>
      <c r="AV48" s="17"/>
      <c r="AW48" s="17">
        <v>0</v>
      </c>
      <c r="AX48" s="17">
        <v>0</v>
      </c>
      <c r="AY48" s="17">
        <v>0</v>
      </c>
      <c r="AZ48" s="17">
        <v>-107656329.59999999</v>
      </c>
      <c r="BA48" s="17">
        <v>-123612921.81238295</v>
      </c>
      <c r="BC48" s="17">
        <v>0</v>
      </c>
      <c r="BD48" s="17">
        <v>-950000000</v>
      </c>
      <c r="BE48" s="17">
        <v>0</v>
      </c>
      <c r="BF48" s="17">
        <v>-107656329.59999999</v>
      </c>
      <c r="BG48" s="17">
        <v>-148485706.48983905</v>
      </c>
    </row>
    <row r="49" spans="2:59" x14ac:dyDescent="0.25">
      <c r="B49" s="88" t="s">
        <v>548</v>
      </c>
      <c r="C49" s="88"/>
      <c r="D49" s="88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>
        <v>-111829899.79904866</v>
      </c>
      <c r="AN49" s="17">
        <v>-111829899.79904866</v>
      </c>
      <c r="AO49" s="17">
        <v>0</v>
      </c>
      <c r="AP49" s="227">
        <v>0</v>
      </c>
      <c r="AQ49" s="227">
        <f>-386232.744738337/10^6</f>
        <v>-0.38623274473833702</v>
      </c>
      <c r="AR49" s="17">
        <v>-114740010.435013</v>
      </c>
      <c r="AS49" s="17">
        <f>-115126243.179751</f>
        <v>-115126243.17975099</v>
      </c>
      <c r="AT49" s="17">
        <v>-135500000</v>
      </c>
      <c r="AU49" s="17"/>
      <c r="AV49" s="17"/>
      <c r="AW49" s="17"/>
      <c r="AX49" s="17"/>
      <c r="AY49" s="17"/>
      <c r="AZ49" s="17"/>
      <c r="BA49" s="17">
        <v>0</v>
      </c>
      <c r="BC49" s="17"/>
      <c r="BD49" s="17"/>
      <c r="BE49" s="17"/>
      <c r="BF49" s="17"/>
      <c r="BG49" s="17">
        <v>-386232.74473833665</v>
      </c>
    </row>
    <row r="50" spans="2:59" x14ac:dyDescent="0.25">
      <c r="B50" s="88" t="s">
        <v>593</v>
      </c>
      <c r="C50" s="88"/>
      <c r="D50" s="88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>
        <v>0</v>
      </c>
      <c r="AP50" s="17">
        <v>0</v>
      </c>
      <c r="AQ50" s="17">
        <v>0</v>
      </c>
      <c r="AR50" s="17">
        <v>0</v>
      </c>
      <c r="AS50" s="17">
        <v>0</v>
      </c>
      <c r="AT50" s="17">
        <v>-613000000</v>
      </c>
      <c r="AU50" s="17"/>
      <c r="AV50" s="17"/>
      <c r="AW50" s="17"/>
      <c r="AX50" s="17"/>
      <c r="AY50" s="17"/>
      <c r="AZ50" s="17"/>
      <c r="BA50" s="17"/>
      <c r="BC50" s="17"/>
      <c r="BD50" s="17"/>
      <c r="BE50" s="17"/>
      <c r="BF50" s="17"/>
      <c r="BG50" s="17"/>
    </row>
    <row r="51" spans="2:59" x14ac:dyDescent="0.25">
      <c r="B51" s="88" t="s">
        <v>6</v>
      </c>
      <c r="C51" s="88"/>
      <c r="D51" s="88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>
        <v>0</v>
      </c>
      <c r="R51" s="17">
        <v>0</v>
      </c>
      <c r="S51" s="17">
        <v>0</v>
      </c>
      <c r="T51" s="17">
        <v>0</v>
      </c>
      <c r="U51" s="17">
        <v>0</v>
      </c>
      <c r="V51" s="17">
        <v>0</v>
      </c>
      <c r="W51" s="17">
        <v>0</v>
      </c>
      <c r="X51" s="17">
        <v>0</v>
      </c>
      <c r="Y51" s="17">
        <v>0</v>
      </c>
      <c r="Z51" s="17">
        <v>0</v>
      </c>
      <c r="AA51" s="17">
        <v>0</v>
      </c>
      <c r="AB51" s="17">
        <v>0</v>
      </c>
      <c r="AC51" s="17">
        <v>0</v>
      </c>
      <c r="AD51" s="17">
        <v>0</v>
      </c>
      <c r="AE51" s="17">
        <v>0</v>
      </c>
      <c r="AF51" s="17">
        <v>0</v>
      </c>
      <c r="AG51" s="17">
        <v>-2914627712</v>
      </c>
      <c r="AH51" s="17">
        <v>0</v>
      </c>
      <c r="AI51" s="17">
        <v>-2914627712</v>
      </c>
      <c r="AJ51" s="17">
        <v>0</v>
      </c>
      <c r="AK51" s="17">
        <v>-10000000.034899831</v>
      </c>
      <c r="AL51" s="17">
        <v>14216.33755171299</v>
      </c>
      <c r="AM51" s="17">
        <v>0</v>
      </c>
      <c r="AN51" s="17">
        <v>-9985679.4825398326</v>
      </c>
      <c r="AO51" s="17">
        <v>0</v>
      </c>
      <c r="AP51" s="17">
        <v>-1249947547.0807796</v>
      </c>
      <c r="AQ51" s="17">
        <v>60890377.988470316</v>
      </c>
      <c r="AR51" s="17">
        <v>-144353863.862492</v>
      </c>
      <c r="AS51" s="17">
        <v>-1189084331.0041003</v>
      </c>
      <c r="AT51" s="17">
        <v>0</v>
      </c>
      <c r="AU51" s="17"/>
      <c r="AV51" s="17"/>
      <c r="AW51" s="17">
        <v>0</v>
      </c>
      <c r="AX51" s="17">
        <v>0</v>
      </c>
      <c r="AY51" s="17">
        <v>0</v>
      </c>
      <c r="AZ51" s="17">
        <v>-10000000.034899831</v>
      </c>
      <c r="BA51" s="17">
        <v>-1249947547.0807796</v>
      </c>
      <c r="BC51" s="17">
        <v>0</v>
      </c>
      <c r="BD51" s="17">
        <v>0</v>
      </c>
      <c r="BE51" s="17">
        <v>-2914627712</v>
      </c>
      <c r="BF51" s="17">
        <v>-9985783.6973481178</v>
      </c>
      <c r="BG51" s="17">
        <v>-1189057169.0923092</v>
      </c>
    </row>
    <row r="52" spans="2:59" x14ac:dyDescent="0.25">
      <c r="B52" s="88" t="s">
        <v>555</v>
      </c>
      <c r="C52" s="224"/>
      <c r="D52" s="88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>
        <v>0</v>
      </c>
      <c r="R52" s="17">
        <v>0</v>
      </c>
      <c r="S52" s="17">
        <v>0</v>
      </c>
      <c r="T52" s="17">
        <v>0</v>
      </c>
      <c r="U52" s="17">
        <v>0</v>
      </c>
      <c r="V52" s="17">
        <v>0</v>
      </c>
      <c r="W52" s="17"/>
      <c r="X52" s="17"/>
      <c r="Y52" s="17">
        <v>0</v>
      </c>
      <c r="Z52" s="17">
        <v>0</v>
      </c>
      <c r="AA52" s="17">
        <v>0</v>
      </c>
      <c r="AB52" s="17">
        <v>0</v>
      </c>
      <c r="AC52" s="17">
        <v>0</v>
      </c>
      <c r="AD52" s="17">
        <v>0</v>
      </c>
      <c r="AE52" s="17">
        <v>0</v>
      </c>
      <c r="AF52" s="17">
        <v>-352532700.88395536</v>
      </c>
      <c r="AG52" s="17">
        <v>0</v>
      </c>
      <c r="AH52" s="17">
        <v>-96217094.505035639</v>
      </c>
      <c r="AI52" s="17">
        <v>-448749795.00257689</v>
      </c>
      <c r="AJ52" s="17">
        <v>0</v>
      </c>
      <c r="AK52" s="17">
        <v>-92427848.263620123</v>
      </c>
      <c r="AL52" s="17">
        <v>0</v>
      </c>
      <c r="AM52" s="17">
        <v>-72811006.409044117</v>
      </c>
      <c r="AN52" s="17">
        <v>-178474351.40904412</v>
      </c>
      <c r="AO52" s="17">
        <v>-76059176.496914998</v>
      </c>
      <c r="AP52" s="17">
        <v>-1458588.89417499</v>
      </c>
      <c r="AQ52" s="17">
        <v>-55094389.284738407</v>
      </c>
      <c r="AR52" s="17">
        <v>0</v>
      </c>
      <c r="AS52" s="17">
        <v>-100165544.36245996</v>
      </c>
      <c r="AT52" s="17">
        <v>-607038.42599999905</v>
      </c>
      <c r="AU52" s="17"/>
      <c r="AV52" s="17"/>
      <c r="AW52" s="17">
        <v>0</v>
      </c>
      <c r="AX52" s="17">
        <v>0</v>
      </c>
      <c r="AY52" s="17">
        <v>-352532700.88395536</v>
      </c>
      <c r="AZ52" s="17">
        <v>-92427848.263620123</v>
      </c>
      <c r="BA52" s="17">
        <v>-76517765.391090006</v>
      </c>
      <c r="BC52" s="17">
        <v>0</v>
      </c>
      <c r="BD52" s="17">
        <v>0</v>
      </c>
      <c r="BE52" s="17">
        <v>-352532700.49754125</v>
      </c>
      <c r="BF52" s="17">
        <v>-104663344.56792</v>
      </c>
      <c r="BG52" s="17">
        <v>-131612154.6758284</v>
      </c>
    </row>
    <row r="53" spans="2:59" ht="28.5" x14ac:dyDescent="0.25">
      <c r="B53" s="94" t="s">
        <v>283</v>
      </c>
      <c r="C53" s="94"/>
      <c r="D53" s="95"/>
      <c r="E53" s="96" t="s">
        <v>258</v>
      </c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21">
        <v>-53408131398.869957</v>
      </c>
      <c r="R53" s="21">
        <v>-53724245965.124329</v>
      </c>
      <c r="S53" s="21">
        <v>-2477589897.8675265</v>
      </c>
      <c r="T53" s="21">
        <v>246473173.17833006</v>
      </c>
      <c r="U53" s="21">
        <v>-5895822915.9941626</v>
      </c>
      <c r="V53" s="21">
        <f>-9284975102.20864+10^6</f>
        <v>-9283975102.2086391</v>
      </c>
      <c r="W53" s="22"/>
      <c r="X53" s="22"/>
      <c r="Y53" s="21">
        <v>-17412158084.006554</v>
      </c>
      <c r="Z53" s="21">
        <v>-27685773531.585114</v>
      </c>
      <c r="AA53" s="21">
        <v>-48371853735.756775</v>
      </c>
      <c r="AB53" s="21">
        <v>-28306197907.586132</v>
      </c>
      <c r="AC53" s="21">
        <v>-20382914530.218006</v>
      </c>
      <c r="AD53" s="21">
        <v>-124746739705.14603</v>
      </c>
      <c r="AE53" s="21">
        <v>-13708118916.30438</v>
      </c>
      <c r="AF53" s="21">
        <v>-7305275283.6956263</v>
      </c>
      <c r="AG53" s="21">
        <v>-40980411697.41523</v>
      </c>
      <c r="AH53" s="21">
        <v>-14998812344.729534</v>
      </c>
      <c r="AI53" s="21">
        <v>-74977778721.271255</v>
      </c>
      <c r="AJ53" s="21">
        <v>-45356249092.112549</v>
      </c>
      <c r="AK53" s="21">
        <v>-47515573412.208572</v>
      </c>
      <c r="AL53" s="21">
        <v>-40400252938.725746</v>
      </c>
      <c r="AM53" s="21">
        <v>-39938730114.812256</v>
      </c>
      <c r="AN53" s="21">
        <f>SUM(AN37:AN52)</f>
        <v>-162534630295.60687</v>
      </c>
      <c r="AO53" s="21">
        <v>-40454792915.619576</v>
      </c>
      <c r="AP53" s="21">
        <f>SUM(AP37:AP52)-10^6</f>
        <v>-19985499582.325264</v>
      </c>
      <c r="AQ53" s="21">
        <f>SUM(AQ37:AQ52)</f>
        <v>-21132186764.518379</v>
      </c>
      <c r="AR53" s="21">
        <f>SUM(AR37:AR52)-1*10^6</f>
        <v>5750492812.2473116</v>
      </c>
      <c r="AS53" s="21">
        <f>SUM(AS37:AS52)+10^6*2</f>
        <v>-74163569505.825592</v>
      </c>
      <c r="AT53" s="21">
        <f>SUM(AT37:AT52)-2*10^6</f>
        <v>-14761213350.662153</v>
      </c>
      <c r="AU53" s="22"/>
      <c r="AV53" s="96"/>
      <c r="AW53" s="21">
        <v>-2232116724.6891956</v>
      </c>
      <c r="AX53" s="21">
        <v>-76057627267.341873</v>
      </c>
      <c r="AY53" s="21">
        <v>-21012544200.000008</v>
      </c>
      <c r="AZ53" s="21">
        <v>-92871822504.321167</v>
      </c>
      <c r="BA53" s="21">
        <f>SUM(BA37:BA52)-10^6</f>
        <v>-60439945096.603836</v>
      </c>
      <c r="BC53" s="21">
        <v>-8128472245.1118479</v>
      </c>
      <c r="BD53" s="21">
        <v>-104363825174.92801</v>
      </c>
      <c r="BE53" s="21">
        <v>-56978805897.415192</v>
      </c>
      <c r="BF53" s="21">
        <v>-133271545762.94452</v>
      </c>
      <c r="BG53" s="21">
        <f>SUM(BG37:BG52)+1*10^6</f>
        <v>-81571620921.104095</v>
      </c>
    </row>
    <row r="54" spans="2:59" x14ac:dyDescent="0.25">
      <c r="B54" s="94"/>
      <c r="C54" s="94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22"/>
      <c r="R54" s="22"/>
      <c r="S54" s="95"/>
      <c r="T54" s="95"/>
      <c r="U54" s="95"/>
      <c r="V54" s="95"/>
      <c r="W54" s="95"/>
      <c r="X54" s="95"/>
      <c r="Y54" s="22"/>
      <c r="Z54" s="95"/>
      <c r="AA54" s="95"/>
      <c r="AB54" s="95"/>
      <c r="AC54" s="95"/>
      <c r="AD54" s="22"/>
      <c r="AE54" s="22"/>
      <c r="AF54" s="22"/>
      <c r="AG54" s="22"/>
      <c r="AH54" s="22"/>
      <c r="AI54" s="95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95"/>
      <c r="AW54" s="95"/>
      <c r="AX54" s="95"/>
      <c r="AY54" s="95"/>
      <c r="AZ54" s="95"/>
      <c r="BA54" s="95"/>
      <c r="BC54" s="95"/>
      <c r="BD54" s="95"/>
      <c r="BE54" s="95"/>
      <c r="BF54" s="95"/>
      <c r="BG54" s="95"/>
    </row>
    <row r="55" spans="2:59" x14ac:dyDescent="0.25">
      <c r="B55" s="94"/>
      <c r="C55" s="94"/>
      <c r="D55" s="94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23"/>
      <c r="R55" s="23"/>
      <c r="S55" s="40"/>
      <c r="T55" s="40"/>
      <c r="U55" s="40"/>
      <c r="V55" s="40"/>
      <c r="W55" s="40"/>
      <c r="X55" s="40"/>
      <c r="Y55" s="23"/>
      <c r="Z55" s="40"/>
      <c r="AA55" s="40"/>
      <c r="AB55" s="40"/>
      <c r="AC55" s="40"/>
      <c r="AD55" s="23"/>
      <c r="AE55" s="23"/>
      <c r="AF55" s="23"/>
      <c r="AG55" s="23"/>
      <c r="AH55" s="23"/>
      <c r="AI55" s="40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40"/>
      <c r="AW55" s="40"/>
      <c r="AX55" s="40"/>
      <c r="AY55" s="40"/>
      <c r="BC55" s="40"/>
      <c r="BD55" s="40"/>
      <c r="BE55" s="40"/>
      <c r="BF55" s="40"/>
      <c r="BG55" s="40"/>
    </row>
    <row r="56" spans="2:59" x14ac:dyDescent="0.25">
      <c r="B56" s="87" t="s">
        <v>82</v>
      </c>
      <c r="C56" s="87"/>
      <c r="D56" s="87"/>
      <c r="Q56" s="24"/>
      <c r="R56" s="24"/>
      <c r="Y56" s="24"/>
      <c r="AD56" s="24"/>
      <c r="AE56" s="24"/>
      <c r="AF56" s="24"/>
      <c r="AG56" s="24"/>
      <c r="AH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Z56" s="15"/>
      <c r="BA56" s="15"/>
      <c r="BG56" s="15"/>
    </row>
    <row r="57" spans="2:59" x14ac:dyDescent="0.25">
      <c r="B57" s="92" t="s">
        <v>360</v>
      </c>
      <c r="C57" s="92"/>
      <c r="D57" s="92"/>
      <c r="E57" s="40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>
        <v>0</v>
      </c>
      <c r="R57" s="17">
        <v>0</v>
      </c>
      <c r="S57" s="17">
        <v>0</v>
      </c>
      <c r="T57" s="17">
        <v>0</v>
      </c>
      <c r="U57" s="17">
        <v>0</v>
      </c>
      <c r="V57" s="17">
        <v>0</v>
      </c>
      <c r="W57" s="17"/>
      <c r="X57" s="17"/>
      <c r="Y57" s="17">
        <v>0</v>
      </c>
      <c r="Z57" s="17">
        <v>0</v>
      </c>
      <c r="AA57" s="17">
        <v>68504999085.466843</v>
      </c>
      <c r="AB57" s="17">
        <v>-526699403.2461853</v>
      </c>
      <c r="AC57" s="17">
        <v>0</v>
      </c>
      <c r="AD57" s="17">
        <v>67977545369.522949</v>
      </c>
      <c r="AE57" s="17">
        <v>0</v>
      </c>
      <c r="AF57" s="17">
        <v>0</v>
      </c>
      <c r="AG57" s="17">
        <v>0</v>
      </c>
      <c r="AH57" s="17"/>
      <c r="AI57" s="17">
        <v>0</v>
      </c>
      <c r="AJ57" s="17">
        <v>0</v>
      </c>
      <c r="AK57" s="17">
        <v>0</v>
      </c>
      <c r="AL57" s="17">
        <v>0</v>
      </c>
      <c r="AM57" s="17">
        <v>0</v>
      </c>
      <c r="AN57" s="17">
        <v>0</v>
      </c>
      <c r="AO57" s="17">
        <v>0</v>
      </c>
      <c r="AP57" s="17">
        <v>0</v>
      </c>
      <c r="AQ57" s="17">
        <v>0</v>
      </c>
      <c r="AR57" s="17">
        <v>0</v>
      </c>
      <c r="AS57" s="17">
        <v>0</v>
      </c>
      <c r="AT57" s="17">
        <v>0</v>
      </c>
      <c r="AU57" s="17"/>
      <c r="AV57" s="17"/>
      <c r="AW57" s="17">
        <v>0</v>
      </c>
      <c r="AX57" s="17">
        <v>68504999085.466843</v>
      </c>
      <c r="AY57" s="17">
        <v>0</v>
      </c>
      <c r="AZ57" s="17">
        <v>0</v>
      </c>
      <c r="BA57" s="17">
        <v>0</v>
      </c>
      <c r="BC57" s="17">
        <v>0</v>
      </c>
      <c r="BD57" s="17">
        <v>67978299682.220657</v>
      </c>
      <c r="BE57" s="17">
        <v>0</v>
      </c>
      <c r="BF57" s="17">
        <v>0</v>
      </c>
      <c r="BG57" s="17">
        <v>0</v>
      </c>
    </row>
    <row r="58" spans="2:59" x14ac:dyDescent="0.25">
      <c r="B58" s="92" t="s">
        <v>291</v>
      </c>
      <c r="C58" s="92"/>
      <c r="D58" s="92"/>
      <c r="E58" s="40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>
        <v>559652711.11454642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/>
      <c r="X58" s="17"/>
      <c r="Y58" s="17">
        <v>0</v>
      </c>
      <c r="Z58" s="17">
        <v>0</v>
      </c>
      <c r="AA58" s="17">
        <v>0</v>
      </c>
      <c r="AB58" s="17">
        <v>0</v>
      </c>
      <c r="AC58" s="17">
        <v>21488320.800605774</v>
      </c>
      <c r="AD58" s="17">
        <v>21219374.605529785</v>
      </c>
      <c r="AE58" s="17">
        <v>14492100</v>
      </c>
      <c r="AF58" s="17">
        <v>0</v>
      </c>
      <c r="AG58" s="17">
        <v>0</v>
      </c>
      <c r="AH58" s="17">
        <v>0</v>
      </c>
      <c r="AI58" s="17">
        <v>14492100</v>
      </c>
      <c r="AJ58" s="17">
        <v>0</v>
      </c>
      <c r="AK58" s="17">
        <v>1861082.9999694824</v>
      </c>
      <c r="AL58" s="17">
        <v>0</v>
      </c>
      <c r="AM58" s="17">
        <v>14550287.1222229</v>
      </c>
      <c r="AN58" s="17">
        <v>17124240.1222229</v>
      </c>
      <c r="AO58" s="17">
        <v>776110.44244384766</v>
      </c>
      <c r="AP58" s="17">
        <v>3190505.5575561519</v>
      </c>
      <c r="AQ58" s="17">
        <v>5091378.6810302734</v>
      </c>
      <c r="AR58" s="17">
        <v>10687354.10955805</v>
      </c>
      <c r="AS58" s="17">
        <v>19745348.790588323</v>
      </c>
      <c r="AT58" s="17">
        <v>1.015533447265625</v>
      </c>
      <c r="AU58" s="17"/>
      <c r="AV58" s="17"/>
      <c r="AW58" s="17">
        <v>0</v>
      </c>
      <c r="AX58" s="17">
        <v>0</v>
      </c>
      <c r="AY58" s="17">
        <v>14492100</v>
      </c>
      <c r="AZ58" s="17">
        <v>1861082.9999694824</v>
      </c>
      <c r="BA58" s="17">
        <v>3966616</v>
      </c>
      <c r="BC58" s="17">
        <v>0</v>
      </c>
      <c r="BD58" s="17">
        <v>0</v>
      </c>
      <c r="BE58" s="17">
        <v>14492100</v>
      </c>
      <c r="BF58" s="17">
        <v>1573952.9215698242</v>
      </c>
      <c r="BG58" s="17">
        <v>9057994.6810302734</v>
      </c>
    </row>
    <row r="59" spans="2:59" x14ac:dyDescent="0.25">
      <c r="B59" s="92" t="s">
        <v>318</v>
      </c>
      <c r="C59" s="92"/>
      <c r="D59" s="92"/>
      <c r="E59" s="40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>
        <v>0</v>
      </c>
      <c r="R59" s="17">
        <v>0</v>
      </c>
      <c r="S59" s="17">
        <v>0</v>
      </c>
      <c r="T59" s="17">
        <v>0</v>
      </c>
      <c r="U59" s="17">
        <v>0</v>
      </c>
      <c r="V59" s="17">
        <v>0</v>
      </c>
      <c r="W59" s="17"/>
      <c r="X59" s="17"/>
      <c r="Y59" s="17">
        <v>0</v>
      </c>
      <c r="Z59" s="17">
        <v>0</v>
      </c>
      <c r="AA59" s="17">
        <v>-19608996000</v>
      </c>
      <c r="AB59" s="17">
        <v>0</v>
      </c>
      <c r="AC59" s="17">
        <v>0</v>
      </c>
      <c r="AD59" s="17">
        <v>-19608996000</v>
      </c>
      <c r="AE59" s="17">
        <v>0</v>
      </c>
      <c r="AF59" s="17">
        <v>0</v>
      </c>
      <c r="AG59" s="17">
        <v>0</v>
      </c>
      <c r="AH59" s="17">
        <v>0</v>
      </c>
      <c r="AI59" s="17">
        <v>0</v>
      </c>
      <c r="AJ59" s="17">
        <v>0</v>
      </c>
      <c r="AK59" s="17">
        <v>0</v>
      </c>
      <c r="AL59" s="17">
        <v>0</v>
      </c>
      <c r="AM59" s="17">
        <v>0</v>
      </c>
      <c r="AN59" s="17">
        <v>0</v>
      </c>
      <c r="AO59" s="17">
        <v>0</v>
      </c>
      <c r="AP59" s="17">
        <v>0</v>
      </c>
      <c r="AQ59" s="17">
        <v>0</v>
      </c>
      <c r="AR59" s="17">
        <v>0</v>
      </c>
      <c r="AS59" s="17">
        <v>0</v>
      </c>
      <c r="AT59" s="17">
        <v>0</v>
      </c>
      <c r="AU59" s="17"/>
      <c r="AV59" s="17"/>
      <c r="AW59" s="17">
        <v>0</v>
      </c>
      <c r="AX59" s="17">
        <v>-19608996000</v>
      </c>
      <c r="AY59" s="17">
        <v>0</v>
      </c>
      <c r="AZ59" s="17">
        <v>0</v>
      </c>
      <c r="BA59" s="17">
        <v>0</v>
      </c>
      <c r="BC59" s="17">
        <v>0</v>
      </c>
      <c r="BD59" s="17">
        <v>-19608996000</v>
      </c>
      <c r="BE59" s="17">
        <v>0</v>
      </c>
      <c r="BF59" s="17">
        <v>0</v>
      </c>
      <c r="BG59" s="17">
        <v>0</v>
      </c>
    </row>
    <row r="60" spans="2:59" x14ac:dyDescent="0.25">
      <c r="B60" s="92" t="s">
        <v>259</v>
      </c>
      <c r="C60" s="92"/>
      <c r="D60" s="92"/>
      <c r="E60" s="40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>
        <v>0</v>
      </c>
      <c r="R60" s="17">
        <v>-736360821.64753258</v>
      </c>
      <c r="S60" s="17">
        <v>0</v>
      </c>
      <c r="T60" s="17">
        <v>0</v>
      </c>
      <c r="U60" s="17">
        <v>0</v>
      </c>
      <c r="V60" s="17">
        <v>0</v>
      </c>
      <c r="W60" s="17"/>
      <c r="X60" s="17"/>
      <c r="Y60" s="17">
        <v>0</v>
      </c>
      <c r="Z60" s="17">
        <v>0</v>
      </c>
      <c r="AA60" s="17">
        <v>1036161600.125468</v>
      </c>
      <c r="AB60" s="17">
        <v>34898349.624028921</v>
      </c>
      <c r="AC60" s="17">
        <v>0</v>
      </c>
      <c r="AD60" s="17">
        <v>0</v>
      </c>
      <c r="AE60" s="17">
        <v>0</v>
      </c>
      <c r="AF60" s="17">
        <v>0</v>
      </c>
      <c r="AG60" s="17">
        <v>0</v>
      </c>
      <c r="AH60" s="17">
        <v>0</v>
      </c>
      <c r="AI60" s="17">
        <v>0</v>
      </c>
      <c r="AJ60" s="17">
        <v>0</v>
      </c>
      <c r="AK60" s="17">
        <v>0</v>
      </c>
      <c r="AL60" s="17">
        <v>0</v>
      </c>
      <c r="AM60" s="17">
        <v>0</v>
      </c>
      <c r="AN60" s="17">
        <v>0</v>
      </c>
      <c r="AO60" s="17">
        <v>0</v>
      </c>
      <c r="AP60" s="17">
        <v>0</v>
      </c>
      <c r="AQ60" s="17">
        <v>0</v>
      </c>
      <c r="AR60" s="17">
        <v>0</v>
      </c>
      <c r="AS60" s="17">
        <v>0</v>
      </c>
      <c r="AT60" s="17">
        <v>0</v>
      </c>
      <c r="AU60" s="17"/>
      <c r="AV60" s="17"/>
      <c r="AW60" s="17">
        <v>0</v>
      </c>
      <c r="AX60" s="17">
        <v>1036161600.125468</v>
      </c>
      <c r="AY60" s="17">
        <v>0</v>
      </c>
      <c r="AZ60" s="17">
        <v>0</v>
      </c>
      <c r="BA60" s="17">
        <v>0</v>
      </c>
      <c r="BC60" s="17">
        <v>0</v>
      </c>
      <c r="BD60" s="17">
        <v>1071059949.7494969</v>
      </c>
      <c r="BE60" s="17">
        <v>0</v>
      </c>
      <c r="BF60" s="17">
        <v>0</v>
      </c>
      <c r="BG60" s="17">
        <v>0</v>
      </c>
    </row>
    <row r="61" spans="2:59" x14ac:dyDescent="0.25">
      <c r="B61" s="92" t="s">
        <v>260</v>
      </c>
      <c r="C61" s="92"/>
      <c r="D61" s="92"/>
      <c r="E61" s="40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>
        <v>0</v>
      </c>
      <c r="R61" s="17">
        <v>846267700</v>
      </c>
      <c r="S61" s="17">
        <v>0</v>
      </c>
      <c r="T61" s="17">
        <v>-886727892.48977649</v>
      </c>
      <c r="U61" s="17">
        <v>-606404494.54799354</v>
      </c>
      <c r="V61" s="17">
        <v>1493132387.03777</v>
      </c>
      <c r="W61" s="17"/>
      <c r="X61" s="17"/>
      <c r="Y61" s="17">
        <v>-1515708978.66484</v>
      </c>
      <c r="Z61" s="17">
        <v>0</v>
      </c>
      <c r="AA61" s="17">
        <v>-736406528.46739984</v>
      </c>
      <c r="AB61" s="17">
        <v>-4675652.5864491463</v>
      </c>
      <c r="AC61" s="17">
        <v>0</v>
      </c>
      <c r="AD61" s="17">
        <v>0</v>
      </c>
      <c r="AE61" s="17">
        <v>0</v>
      </c>
      <c r="AF61" s="17">
        <v>0</v>
      </c>
      <c r="AG61" s="17">
        <v>-2614019.1423212737</v>
      </c>
      <c r="AH61" s="17">
        <v>0</v>
      </c>
      <c r="AI61" s="17">
        <v>0</v>
      </c>
      <c r="AJ61" s="17">
        <v>0</v>
      </c>
      <c r="AK61" s="17">
        <v>2000000</v>
      </c>
      <c r="AL61" s="17">
        <v>-2000000</v>
      </c>
      <c r="AM61" s="17">
        <v>-99905379.149137557</v>
      </c>
      <c r="AN61" s="17">
        <v>-236664566.14913756</v>
      </c>
      <c r="AO61" s="17">
        <v>0</v>
      </c>
      <c r="AP61" s="17">
        <v>0</v>
      </c>
      <c r="AQ61" s="17">
        <v>0</v>
      </c>
      <c r="AR61" s="17">
        <v>-335000000</v>
      </c>
      <c r="AS61" s="17">
        <v>-335000000</v>
      </c>
      <c r="AT61" s="17">
        <v>0</v>
      </c>
      <c r="AU61" s="17"/>
      <c r="AV61" s="17"/>
      <c r="AW61" s="17">
        <v>-886727892.48977649</v>
      </c>
      <c r="AX61" s="17">
        <v>-736406528.46740007</v>
      </c>
      <c r="AY61" s="17">
        <v>-33984350.293927729</v>
      </c>
      <c r="AZ61" s="17">
        <v>-134759187.49431801</v>
      </c>
      <c r="BA61" s="17">
        <v>0</v>
      </c>
      <c r="BC61" s="17">
        <v>-1493132387.03777</v>
      </c>
      <c r="BD61" s="17">
        <v>-741082181.05384898</v>
      </c>
      <c r="BE61" s="17">
        <v>-36598369.436249003</v>
      </c>
      <c r="BF61" s="17">
        <v>-136759187.49431801</v>
      </c>
      <c r="BG61" s="17">
        <v>0</v>
      </c>
    </row>
    <row r="62" spans="2:59" x14ac:dyDescent="0.25">
      <c r="B62" s="92" t="s">
        <v>292</v>
      </c>
      <c r="C62" s="92"/>
      <c r="D62" s="92"/>
      <c r="E62" s="40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>
        <v>0</v>
      </c>
      <c r="R62" s="17">
        <v>0</v>
      </c>
      <c r="S62" s="17">
        <v>0</v>
      </c>
      <c r="T62" s="17">
        <v>0</v>
      </c>
      <c r="U62" s="17">
        <v>0</v>
      </c>
      <c r="V62" s="17">
        <v>0</v>
      </c>
      <c r="W62" s="17">
        <v>0</v>
      </c>
      <c r="X62" s="17">
        <v>0</v>
      </c>
      <c r="Y62" s="17">
        <v>0</v>
      </c>
      <c r="Z62" s="17">
        <v>397846140.51480341</v>
      </c>
      <c r="AA62" s="17">
        <v>-397846140.51480341</v>
      </c>
      <c r="AB62" s="17"/>
      <c r="AC62" s="17"/>
      <c r="AD62" s="17"/>
      <c r="AE62" s="17">
        <v>0</v>
      </c>
      <c r="AF62" s="17">
        <v>0</v>
      </c>
      <c r="AG62" s="17">
        <v>0</v>
      </c>
      <c r="AH62" s="17">
        <v>0</v>
      </c>
      <c r="AI62" s="17">
        <v>0</v>
      </c>
      <c r="AJ62" s="17">
        <v>0</v>
      </c>
      <c r="AK62" s="17">
        <v>0</v>
      </c>
      <c r="AL62" s="17">
        <v>0</v>
      </c>
      <c r="AM62" s="17">
        <v>0</v>
      </c>
      <c r="AN62" s="17">
        <v>0</v>
      </c>
      <c r="AO62" s="17">
        <v>0</v>
      </c>
      <c r="AP62" s="17">
        <v>0</v>
      </c>
      <c r="AQ62" s="17">
        <v>0</v>
      </c>
      <c r="AR62" s="17">
        <v>0</v>
      </c>
      <c r="AS62" s="17">
        <v>0</v>
      </c>
      <c r="AT62" s="17">
        <v>0</v>
      </c>
      <c r="AU62" s="17"/>
      <c r="AV62" s="17"/>
      <c r="AW62" s="17">
        <v>0</v>
      </c>
      <c r="AX62" s="17">
        <v>0</v>
      </c>
      <c r="AY62" s="17">
        <v>0</v>
      </c>
      <c r="AZ62" s="17">
        <v>0</v>
      </c>
      <c r="BA62" s="17">
        <v>0</v>
      </c>
      <c r="BC62" s="17">
        <v>0</v>
      </c>
      <c r="BD62" s="17">
        <v>0</v>
      </c>
      <c r="BE62" s="17">
        <v>0</v>
      </c>
      <c r="BF62" s="17">
        <v>0</v>
      </c>
      <c r="BG62" s="17">
        <v>0</v>
      </c>
    </row>
    <row r="63" spans="2:59" x14ac:dyDescent="0.25">
      <c r="B63" s="92" t="s">
        <v>549</v>
      </c>
      <c r="C63" s="92"/>
      <c r="D63" s="92"/>
      <c r="E63" s="40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>
        <v>0</v>
      </c>
      <c r="R63" s="17">
        <v>0</v>
      </c>
      <c r="S63" s="17">
        <v>0</v>
      </c>
      <c r="T63" s="17">
        <v>0</v>
      </c>
      <c r="U63" s="17">
        <v>0</v>
      </c>
      <c r="V63" s="17">
        <v>0</v>
      </c>
      <c r="W63" s="17">
        <v>0</v>
      </c>
      <c r="X63" s="17">
        <v>0</v>
      </c>
      <c r="Y63" s="17">
        <v>0</v>
      </c>
      <c r="Z63" s="17">
        <v>0</v>
      </c>
      <c r="AA63" s="17">
        <v>0</v>
      </c>
      <c r="AB63" s="17">
        <v>0</v>
      </c>
      <c r="AC63" s="17">
        <v>0</v>
      </c>
      <c r="AD63" s="17">
        <v>0</v>
      </c>
      <c r="AE63" s="17">
        <v>1629412495.9483562</v>
      </c>
      <c r="AF63" s="17">
        <v>7929705995.6113129</v>
      </c>
      <c r="AG63" s="17">
        <v>7088587852.9318962</v>
      </c>
      <c r="AH63" s="17">
        <v>1110236967.2557755</v>
      </c>
      <c r="AI63" s="17">
        <v>17757943311.747341</v>
      </c>
      <c r="AJ63" s="17">
        <v>4411333348.0656595</v>
      </c>
      <c r="AK63" s="17">
        <v>2574684977.2320518</v>
      </c>
      <c r="AL63" s="17">
        <v>178322460.70228958</v>
      </c>
      <c r="AM63" s="17">
        <v>443068220.09422398</v>
      </c>
      <c r="AN63" s="17">
        <v>7608409006.094224</v>
      </c>
      <c r="AO63" s="17">
        <v>96229633.432161346</v>
      </c>
      <c r="AP63" s="17">
        <v>42601972.662064299</v>
      </c>
      <c r="AQ63" s="17">
        <v>977028815.33094287</v>
      </c>
      <c r="AR63" s="17">
        <v>712597917.10687542</v>
      </c>
      <c r="AS63" s="17">
        <v>1829458338.5320439</v>
      </c>
      <c r="AT63" s="17">
        <v>166734777.13396803</v>
      </c>
      <c r="AU63" s="17"/>
      <c r="AV63" s="17"/>
      <c r="AW63" s="17">
        <v>0</v>
      </c>
      <c r="AX63" s="17">
        <v>0</v>
      </c>
      <c r="AY63" s="17">
        <v>9559118491.5596695</v>
      </c>
      <c r="AZ63" s="17">
        <v>6986018325.2977114</v>
      </c>
      <c r="BA63" s="17">
        <v>138831606.09422565</v>
      </c>
      <c r="BC63" s="17">
        <v>0</v>
      </c>
      <c r="BD63" s="17">
        <v>0</v>
      </c>
      <c r="BE63" s="17">
        <v>16647706344.491566</v>
      </c>
      <c r="BF63" s="17">
        <v>7164340786.000001</v>
      </c>
      <c r="BG63" s="17">
        <v>1115860421.4251685</v>
      </c>
    </row>
    <row r="64" spans="2:59" x14ac:dyDescent="0.25">
      <c r="B64" s="92" t="s">
        <v>550</v>
      </c>
      <c r="C64" s="92"/>
      <c r="D64" s="92"/>
      <c r="E64" s="40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>
        <v>0</v>
      </c>
      <c r="AN64" s="17">
        <v>0</v>
      </c>
      <c r="AO64" s="17">
        <v>0</v>
      </c>
      <c r="AP64" s="17">
        <v>0</v>
      </c>
      <c r="AQ64" s="17">
        <v>0</v>
      </c>
      <c r="AR64" s="17">
        <v>0</v>
      </c>
      <c r="AS64" s="17">
        <v>0</v>
      </c>
      <c r="AT64" s="17">
        <v>0</v>
      </c>
      <c r="AU64" s="17"/>
      <c r="AV64" s="17"/>
      <c r="AW64" s="17">
        <v>0</v>
      </c>
      <c r="AX64" s="17">
        <v>0</v>
      </c>
      <c r="AY64" s="17"/>
      <c r="AZ64" s="17"/>
      <c r="BA64" s="17">
        <v>0</v>
      </c>
      <c r="BC64" s="17">
        <v>0</v>
      </c>
      <c r="BD64" s="17">
        <v>0</v>
      </c>
      <c r="BE64" s="17">
        <v>0</v>
      </c>
      <c r="BF64" s="17">
        <v>0</v>
      </c>
      <c r="BG64" s="17">
        <v>0</v>
      </c>
    </row>
    <row r="65" spans="2:59" x14ac:dyDescent="0.25">
      <c r="B65" s="92" t="s">
        <v>413</v>
      </c>
      <c r="C65" s="92"/>
      <c r="D65" s="92"/>
      <c r="E65" s="40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>
        <v>0</v>
      </c>
      <c r="R65" s="17">
        <v>0</v>
      </c>
      <c r="S65" s="17">
        <v>0</v>
      </c>
      <c r="T65" s="17">
        <v>0</v>
      </c>
      <c r="U65" s="17">
        <v>0</v>
      </c>
      <c r="V65" s="17">
        <v>0</v>
      </c>
      <c r="W65" s="17"/>
      <c r="X65" s="17"/>
      <c r="Y65" s="17">
        <v>0</v>
      </c>
      <c r="Z65" s="17">
        <v>0</v>
      </c>
      <c r="AA65" s="17">
        <v>0</v>
      </c>
      <c r="AB65" s="17">
        <v>0</v>
      </c>
      <c r="AC65" s="17">
        <v>-1314646850.5109768</v>
      </c>
      <c r="AD65" s="17">
        <v>-1314646850.5109768</v>
      </c>
      <c r="AE65" s="17">
        <v>-1172710149.5178094</v>
      </c>
      <c r="AF65" s="17">
        <v>-5008820929.8053303</v>
      </c>
      <c r="AG65" s="17">
        <v>-3876259194.142745</v>
      </c>
      <c r="AH65" s="17">
        <v>-3217833616.3602276</v>
      </c>
      <c r="AI65" s="17">
        <v>-13275623889.826113</v>
      </c>
      <c r="AJ65" s="17">
        <v>-2060003030.8897729</v>
      </c>
      <c r="AK65" s="17">
        <v>-1445318826.2468019</v>
      </c>
      <c r="AL65" s="17">
        <v>-1314484610.9915695</v>
      </c>
      <c r="AM65" s="17">
        <v>0</v>
      </c>
      <c r="AN65" s="17">
        <v>-4818806468.1281443</v>
      </c>
      <c r="AO65" s="17">
        <v>0</v>
      </c>
      <c r="AP65" s="17">
        <v>0</v>
      </c>
      <c r="AQ65" s="17">
        <v>0</v>
      </c>
      <c r="AR65" s="17">
        <v>0</v>
      </c>
      <c r="AS65" s="17">
        <v>0</v>
      </c>
      <c r="AT65" s="17">
        <v>0</v>
      </c>
      <c r="AU65" s="17"/>
      <c r="AV65" s="17"/>
      <c r="AW65" s="17">
        <v>0</v>
      </c>
      <c r="AX65" s="17">
        <v>0</v>
      </c>
      <c r="AY65" s="17">
        <v>-6181531079.3231401</v>
      </c>
      <c r="AZ65" s="17">
        <v>-3505321857.1365747</v>
      </c>
      <c r="BA65" s="17">
        <v>0</v>
      </c>
      <c r="BC65" s="17">
        <v>0</v>
      </c>
      <c r="BD65" s="17">
        <v>0</v>
      </c>
      <c r="BE65" s="17">
        <v>-10057790273.465885</v>
      </c>
      <c r="BF65" s="17">
        <v>-4818806468.1281443</v>
      </c>
      <c r="BG65" s="17">
        <v>0</v>
      </c>
    </row>
    <row r="66" spans="2:59" x14ac:dyDescent="0.25">
      <c r="B66" s="92" t="s">
        <v>259</v>
      </c>
      <c r="C66" s="92"/>
      <c r="D66" s="92"/>
      <c r="E66" s="40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>
        <v>0</v>
      </c>
      <c r="R66" s="17">
        <v>0</v>
      </c>
      <c r="S66" s="17">
        <v>0</v>
      </c>
      <c r="T66" s="17">
        <v>0</v>
      </c>
      <c r="U66" s="17">
        <v>0</v>
      </c>
      <c r="V66" s="17">
        <v>0</v>
      </c>
      <c r="W66" s="17"/>
      <c r="X66" s="17"/>
      <c r="Y66" s="17">
        <v>0</v>
      </c>
      <c r="Z66" s="17">
        <v>0</v>
      </c>
      <c r="AA66" s="17">
        <v>0</v>
      </c>
      <c r="AB66" s="17">
        <v>0</v>
      </c>
      <c r="AC66" s="17">
        <v>378943728.90203142</v>
      </c>
      <c r="AD66" s="17">
        <v>1450003678.6515284</v>
      </c>
      <c r="AE66" s="17">
        <v>0</v>
      </c>
      <c r="AF66" s="17">
        <v>0</v>
      </c>
      <c r="AG66" s="17">
        <v>0</v>
      </c>
      <c r="AH66" s="17">
        <v>0</v>
      </c>
      <c r="AI66" s="17">
        <v>0</v>
      </c>
      <c r="AJ66" s="17">
        <v>0</v>
      </c>
      <c r="AK66" s="17">
        <v>0</v>
      </c>
      <c r="AL66" s="17">
        <v>0</v>
      </c>
      <c r="AM66" s="17">
        <v>0</v>
      </c>
      <c r="AN66" s="17">
        <v>0</v>
      </c>
      <c r="AO66" s="17">
        <v>0</v>
      </c>
      <c r="AP66" s="17">
        <v>0</v>
      </c>
      <c r="AQ66" s="17">
        <v>0</v>
      </c>
      <c r="AR66" s="17">
        <v>0</v>
      </c>
      <c r="AS66" s="17">
        <v>0</v>
      </c>
      <c r="AT66" s="17">
        <v>0</v>
      </c>
      <c r="AU66" s="17"/>
      <c r="AV66" s="17"/>
      <c r="AW66" s="17">
        <v>0</v>
      </c>
      <c r="AX66" s="17">
        <v>0</v>
      </c>
      <c r="AY66" s="17">
        <v>0</v>
      </c>
      <c r="AZ66" s="17">
        <v>0</v>
      </c>
      <c r="BA66" s="17">
        <v>0</v>
      </c>
      <c r="BC66" s="17">
        <v>0</v>
      </c>
      <c r="BD66" s="17">
        <v>0</v>
      </c>
      <c r="BE66" s="17">
        <v>0</v>
      </c>
      <c r="BF66" s="17">
        <v>0</v>
      </c>
      <c r="BG66" s="17">
        <v>0</v>
      </c>
    </row>
    <row r="67" spans="2:59" x14ac:dyDescent="0.25">
      <c r="B67" s="92" t="s">
        <v>267</v>
      </c>
      <c r="C67" s="92"/>
      <c r="D67" s="92"/>
      <c r="E67" s="40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>
        <v>0</v>
      </c>
      <c r="R67" s="17">
        <v>0</v>
      </c>
      <c r="S67" s="17">
        <v>0</v>
      </c>
      <c r="T67" s="17">
        <v>0</v>
      </c>
      <c r="U67" s="17">
        <v>0</v>
      </c>
      <c r="V67" s="17">
        <v>7829718</v>
      </c>
      <c r="W67" s="17"/>
      <c r="X67" s="17"/>
      <c r="Y67" s="17">
        <v>7829718</v>
      </c>
      <c r="Z67" s="17">
        <v>0</v>
      </c>
      <c r="AA67" s="17">
        <v>0</v>
      </c>
      <c r="AB67" s="17">
        <v>0</v>
      </c>
      <c r="AC67" s="17">
        <v>0</v>
      </c>
      <c r="AD67" s="17">
        <v>0</v>
      </c>
      <c r="AE67" s="17">
        <v>0</v>
      </c>
      <c r="AF67" s="17">
        <v>0</v>
      </c>
      <c r="AG67" s="17">
        <v>0</v>
      </c>
      <c r="AH67" s="17">
        <v>0</v>
      </c>
      <c r="AI67" s="17">
        <v>0</v>
      </c>
      <c r="AJ67" s="17">
        <v>0</v>
      </c>
      <c r="AK67" s="17">
        <v>0</v>
      </c>
      <c r="AL67" s="17">
        <v>0</v>
      </c>
      <c r="AM67" s="17">
        <v>0</v>
      </c>
      <c r="AN67" s="17">
        <v>0</v>
      </c>
      <c r="AO67" s="17">
        <v>0</v>
      </c>
      <c r="AP67" s="17">
        <v>0</v>
      </c>
      <c r="AQ67" s="17">
        <v>0</v>
      </c>
      <c r="AR67" s="17">
        <v>0</v>
      </c>
      <c r="AS67" s="17">
        <v>0</v>
      </c>
      <c r="AT67" s="17">
        <v>0</v>
      </c>
      <c r="AU67" s="17"/>
      <c r="AV67" s="17"/>
      <c r="AW67" s="17">
        <v>0</v>
      </c>
      <c r="AX67" s="17">
        <v>0</v>
      </c>
      <c r="AY67" s="17">
        <v>0</v>
      </c>
      <c r="AZ67" s="17">
        <v>0</v>
      </c>
      <c r="BA67" s="17">
        <v>0</v>
      </c>
      <c r="BC67" s="17">
        <v>0</v>
      </c>
      <c r="BD67" s="17">
        <v>0</v>
      </c>
      <c r="BE67" s="17">
        <v>0</v>
      </c>
      <c r="BF67" s="17">
        <v>0</v>
      </c>
      <c r="BG67" s="17">
        <v>0</v>
      </c>
    </row>
    <row r="68" spans="2:59" x14ac:dyDescent="0.25">
      <c r="B68" s="92" t="s">
        <v>414</v>
      </c>
      <c r="C68" s="92"/>
      <c r="D68" s="92"/>
      <c r="E68" s="40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>
        <v>0</v>
      </c>
      <c r="R68" s="17">
        <v>0</v>
      </c>
      <c r="S68" s="17">
        <v>0</v>
      </c>
      <c r="T68" s="17">
        <v>0</v>
      </c>
      <c r="U68" s="17">
        <v>0</v>
      </c>
      <c r="V68" s="17">
        <v>0</v>
      </c>
      <c r="W68" s="17">
        <v>0</v>
      </c>
      <c r="X68" s="17">
        <v>0</v>
      </c>
      <c r="Y68" s="17">
        <v>0</v>
      </c>
      <c r="Z68" s="17">
        <v>0</v>
      </c>
      <c r="AA68" s="17">
        <v>0</v>
      </c>
      <c r="AB68" s="17">
        <v>0</v>
      </c>
      <c r="AC68" s="17">
        <v>0</v>
      </c>
      <c r="AD68" s="17">
        <v>0</v>
      </c>
      <c r="AE68" s="17">
        <v>0</v>
      </c>
      <c r="AF68" s="17">
        <v>0</v>
      </c>
      <c r="AG68" s="17">
        <v>-980369918.30250001</v>
      </c>
      <c r="AH68" s="17">
        <v>0</v>
      </c>
      <c r="AI68" s="17">
        <v>-980369918.30250001</v>
      </c>
      <c r="AJ68" s="17">
        <v>0</v>
      </c>
      <c r="AK68" s="17">
        <v>0</v>
      </c>
      <c r="AL68" s="17">
        <v>-999970800</v>
      </c>
      <c r="AM68" s="17">
        <v>0</v>
      </c>
      <c r="AN68" s="17">
        <v>-999970800</v>
      </c>
      <c r="AO68" s="17">
        <v>0</v>
      </c>
      <c r="AP68" s="17">
        <v>0</v>
      </c>
      <c r="AQ68" s="17">
        <v>0</v>
      </c>
      <c r="AR68" s="17">
        <v>0</v>
      </c>
      <c r="AS68" s="17">
        <v>0</v>
      </c>
      <c r="AT68" s="17">
        <v>0</v>
      </c>
      <c r="AU68" s="17"/>
      <c r="AV68" s="17"/>
      <c r="AW68" s="17">
        <v>0</v>
      </c>
      <c r="AX68" s="17">
        <v>0</v>
      </c>
      <c r="AY68" s="17">
        <v>0</v>
      </c>
      <c r="AZ68" s="17">
        <v>0</v>
      </c>
      <c r="BA68" s="17">
        <v>0</v>
      </c>
      <c r="BC68" s="17">
        <v>0</v>
      </c>
      <c r="BD68" s="17">
        <v>0</v>
      </c>
      <c r="BE68" s="17">
        <v>-980369918.30250001</v>
      </c>
      <c r="BF68" s="17">
        <v>-999970800</v>
      </c>
      <c r="BG68" s="17">
        <v>0</v>
      </c>
    </row>
    <row r="69" spans="2:59" x14ac:dyDescent="0.25">
      <c r="B69" s="246" t="s">
        <v>83</v>
      </c>
      <c r="C69" s="246"/>
      <c r="D69" s="246"/>
      <c r="E69" s="40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>
        <v>-1665558626.4944677</v>
      </c>
      <c r="R69" s="17">
        <v>-346503571.70416069</v>
      </c>
      <c r="S69" s="17">
        <v>-97707743.350924939</v>
      </c>
      <c r="T69" s="17">
        <v>-33154705.770730063</v>
      </c>
      <c r="U69" s="17">
        <v>-51128503.694827989</v>
      </c>
      <c r="V69" s="17">
        <v>-66071985.128033012</v>
      </c>
      <c r="W69" s="17"/>
      <c r="X69" s="17"/>
      <c r="Y69" s="17">
        <v>-248062937.944516</v>
      </c>
      <c r="Z69" s="17">
        <v>-53215011.677036628</v>
      </c>
      <c r="AA69" s="17">
        <v>-63903008.211053431</v>
      </c>
      <c r="AB69" s="17">
        <v>-76881980.111909941</v>
      </c>
      <c r="AC69" s="17">
        <v>-100525489.02570629</v>
      </c>
      <c r="AD69" s="17">
        <v>-294525489.02570629</v>
      </c>
      <c r="AE69" s="17">
        <v>-79678672.772454202</v>
      </c>
      <c r="AF69" s="17">
        <v>-145781959.02754581</v>
      </c>
      <c r="AG69" s="17">
        <v>-144030687.96999997</v>
      </c>
      <c r="AH69" s="17">
        <v>-164141238.23000002</v>
      </c>
      <c r="AI69" s="17">
        <v>-533632558</v>
      </c>
      <c r="AJ69" s="17">
        <v>-122502972.84</v>
      </c>
      <c r="AK69" s="17">
        <v>-164074324.16</v>
      </c>
      <c r="AL69" s="17">
        <v>-195822842.80000001</v>
      </c>
      <c r="AM69" s="17">
        <v>-105082135.70486796</v>
      </c>
      <c r="AN69" s="17">
        <v>-588482275.70486796</v>
      </c>
      <c r="AO69" s="17">
        <v>-66287125.170000002</v>
      </c>
      <c r="AP69" s="17">
        <v>-278150950.82999998</v>
      </c>
      <c r="AQ69" s="17">
        <v>-166217355.69</v>
      </c>
      <c r="AR69" s="17">
        <v>-152906366.31</v>
      </c>
      <c r="AS69" s="17">
        <v>-662561798</v>
      </c>
      <c r="AT69" s="17">
        <v>-43222527</v>
      </c>
      <c r="AU69" s="17"/>
      <c r="AV69" s="17"/>
      <c r="AW69" s="17">
        <v>-130862449.121655</v>
      </c>
      <c r="AX69" s="17">
        <v>-117118019.88809006</v>
      </c>
      <c r="AY69" s="17">
        <v>-226460631.80000001</v>
      </c>
      <c r="AZ69" s="17">
        <v>-286577297</v>
      </c>
      <c r="BA69" s="17">
        <v>-344438076</v>
      </c>
      <c r="BC69" s="17">
        <v>-181990952.81648299</v>
      </c>
      <c r="BD69" s="17">
        <v>-194000000</v>
      </c>
      <c r="BE69" s="17">
        <v>-370491319.76999998</v>
      </c>
      <c r="BF69" s="17">
        <v>-483400139.80000001</v>
      </c>
      <c r="BG69" s="17">
        <v>-509655431.69</v>
      </c>
    </row>
    <row r="70" spans="2:59" x14ac:dyDescent="0.25">
      <c r="B70" s="92" t="s">
        <v>305</v>
      </c>
      <c r="C70" s="92"/>
      <c r="D70" s="115"/>
      <c r="E70" s="40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>
        <v>0</v>
      </c>
      <c r="T70" s="17">
        <v>0</v>
      </c>
      <c r="U70" s="17">
        <v>0</v>
      </c>
      <c r="V70" s="17">
        <v>-1515708978.6648371</v>
      </c>
      <c r="W70" s="17"/>
      <c r="X70" s="17"/>
      <c r="Y70" s="17"/>
      <c r="Z70" s="17">
        <v>0</v>
      </c>
      <c r="AA70" s="17">
        <v>0</v>
      </c>
      <c r="AB70" s="17">
        <v>0</v>
      </c>
      <c r="AC70" s="17">
        <v>3675652.5864491463</v>
      </c>
      <c r="AD70" s="17">
        <v>-737406528.46739984</v>
      </c>
      <c r="AE70" s="17">
        <v>-18581746.595849</v>
      </c>
      <c r="AF70" s="17">
        <v>-15402603.698078729</v>
      </c>
      <c r="AG70" s="17">
        <v>0</v>
      </c>
      <c r="AH70" s="17">
        <v>0</v>
      </c>
      <c r="AI70" s="17">
        <v>-36598369.436249003</v>
      </c>
      <c r="AJ70" s="17">
        <v>-136759187.49431801</v>
      </c>
      <c r="AK70" s="17">
        <v>0</v>
      </c>
      <c r="AL70" s="17">
        <v>0</v>
      </c>
      <c r="AM70" s="17">
        <v>0</v>
      </c>
      <c r="AN70" s="17">
        <v>0</v>
      </c>
      <c r="AO70" s="17">
        <v>0</v>
      </c>
      <c r="AP70" s="17">
        <v>0</v>
      </c>
      <c r="AQ70" s="17">
        <v>0</v>
      </c>
      <c r="AR70" s="17">
        <v>0</v>
      </c>
      <c r="AS70" s="17">
        <v>0</v>
      </c>
      <c r="AT70" s="17">
        <v>0</v>
      </c>
      <c r="AU70" s="17"/>
      <c r="AV70" s="17"/>
      <c r="AW70" s="17"/>
      <c r="AX70" s="17">
        <v>0</v>
      </c>
      <c r="AY70" s="17">
        <v>0</v>
      </c>
      <c r="AZ70" s="17">
        <v>0</v>
      </c>
      <c r="BA70" s="17">
        <v>0</v>
      </c>
      <c r="BC70" s="17">
        <v>0</v>
      </c>
      <c r="BD70" s="17">
        <v>0</v>
      </c>
      <c r="BE70" s="17">
        <v>0</v>
      </c>
      <c r="BF70" s="17">
        <v>0</v>
      </c>
      <c r="BG70" s="17">
        <v>0</v>
      </c>
    </row>
    <row r="71" spans="2:59" ht="30" x14ac:dyDescent="0.25">
      <c r="B71" s="115" t="s">
        <v>292</v>
      </c>
      <c r="C71" s="115"/>
      <c r="D71" s="115"/>
      <c r="E71" s="40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>
        <v>0</v>
      </c>
      <c r="R71" s="17">
        <v>20903459675</v>
      </c>
      <c r="S71" s="17">
        <v>0</v>
      </c>
      <c r="T71" s="17">
        <v>0</v>
      </c>
      <c r="U71" s="17">
        <v>0</v>
      </c>
      <c r="V71" s="17">
        <v>0</v>
      </c>
      <c r="W71" s="17"/>
      <c r="X71" s="17"/>
      <c r="Y71" s="17">
        <v>0</v>
      </c>
      <c r="Z71" s="17">
        <v>0</v>
      </c>
      <c r="AA71" s="17">
        <v>0</v>
      </c>
      <c r="AB71" s="17">
        <v>0</v>
      </c>
      <c r="AC71" s="17">
        <v>0</v>
      </c>
      <c r="AD71" s="17">
        <v>0</v>
      </c>
      <c r="AE71" s="17">
        <v>0</v>
      </c>
      <c r="AF71" s="17">
        <v>0</v>
      </c>
      <c r="AG71" s="17">
        <v>0</v>
      </c>
      <c r="AH71" s="17">
        <v>0</v>
      </c>
      <c r="AI71" s="17">
        <v>0</v>
      </c>
      <c r="AJ71" s="17">
        <v>0</v>
      </c>
      <c r="AK71" s="17">
        <v>0</v>
      </c>
      <c r="AL71" s="17">
        <v>0</v>
      </c>
      <c r="AM71" s="17">
        <v>0</v>
      </c>
      <c r="AN71" s="17">
        <v>0</v>
      </c>
      <c r="AO71" s="17">
        <v>0</v>
      </c>
      <c r="AP71" s="17">
        <v>0</v>
      </c>
      <c r="AQ71" s="17">
        <v>0</v>
      </c>
      <c r="AR71" s="17">
        <v>0</v>
      </c>
      <c r="AS71" s="17">
        <v>0</v>
      </c>
      <c r="AT71" s="17">
        <v>0</v>
      </c>
      <c r="AU71" s="17"/>
      <c r="AV71" s="17"/>
      <c r="AW71" s="17">
        <v>0</v>
      </c>
      <c r="AX71" s="17">
        <v>0</v>
      </c>
      <c r="AY71" s="17">
        <v>0</v>
      </c>
      <c r="AZ71" s="17">
        <v>0</v>
      </c>
      <c r="BA71" s="17">
        <v>0</v>
      </c>
      <c r="BC71" s="17">
        <v>0</v>
      </c>
      <c r="BD71" s="17">
        <v>0</v>
      </c>
      <c r="BE71" s="17">
        <v>0</v>
      </c>
      <c r="BF71" s="17">
        <v>0</v>
      </c>
      <c r="BG71" s="17">
        <v>0</v>
      </c>
    </row>
    <row r="72" spans="2:59" x14ac:dyDescent="0.25">
      <c r="B72" s="92" t="s">
        <v>84</v>
      </c>
      <c r="C72" s="92"/>
      <c r="D72" s="92"/>
      <c r="E72" s="40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>
        <v>0</v>
      </c>
      <c r="R72" s="17">
        <v>0</v>
      </c>
      <c r="S72" s="17">
        <v>0</v>
      </c>
      <c r="T72" s="17">
        <v>-680730609.20313537</v>
      </c>
      <c r="U72" s="17">
        <v>0</v>
      </c>
      <c r="V72" s="17">
        <v>0</v>
      </c>
      <c r="W72" s="17"/>
      <c r="X72" s="17"/>
      <c r="Y72" s="17">
        <v>-680857566.92313564</v>
      </c>
      <c r="Z72" s="17">
        <v>0</v>
      </c>
      <c r="AA72" s="17">
        <v>-610000000</v>
      </c>
      <c r="AB72" s="17">
        <v>0</v>
      </c>
      <c r="AC72" s="17">
        <v>0</v>
      </c>
      <c r="AD72" s="17">
        <v>-610383415.60000002</v>
      </c>
      <c r="AE72" s="17">
        <v>0</v>
      </c>
      <c r="AF72" s="17">
        <v>0</v>
      </c>
      <c r="AG72" s="17">
        <v>0</v>
      </c>
      <c r="AH72" s="17">
        <v>0</v>
      </c>
      <c r="AI72" s="17">
        <v>0</v>
      </c>
      <c r="AJ72" s="17">
        <v>0</v>
      </c>
      <c r="AK72" s="17">
        <v>0</v>
      </c>
      <c r="AL72" s="17">
        <v>0</v>
      </c>
      <c r="AM72" s="17">
        <v>0</v>
      </c>
      <c r="AN72" s="17">
        <v>0</v>
      </c>
      <c r="AO72" s="17">
        <v>0</v>
      </c>
      <c r="AP72" s="17">
        <v>0</v>
      </c>
      <c r="AQ72" s="17">
        <v>0</v>
      </c>
      <c r="AR72" s="17">
        <v>0</v>
      </c>
      <c r="AS72" s="17">
        <v>0</v>
      </c>
      <c r="AT72" s="17">
        <v>0</v>
      </c>
      <c r="AU72" s="17"/>
      <c r="AV72" s="17"/>
      <c r="AW72" s="17">
        <v>-680730609.20313537</v>
      </c>
      <c r="AX72" s="17">
        <v>-610000000</v>
      </c>
      <c r="AY72" s="17">
        <v>0</v>
      </c>
      <c r="AZ72" s="17">
        <v>0</v>
      </c>
      <c r="BA72" s="17">
        <v>0</v>
      </c>
      <c r="BC72" s="17">
        <v>-680730609.19914103</v>
      </c>
      <c r="BD72" s="17">
        <v>-610383415.60000002</v>
      </c>
      <c r="BE72" s="17">
        <v>0</v>
      </c>
      <c r="BF72" s="17">
        <v>0</v>
      </c>
      <c r="BG72" s="17">
        <v>0</v>
      </c>
    </row>
    <row r="73" spans="2:59" x14ac:dyDescent="0.25">
      <c r="B73" s="92" t="s">
        <v>85</v>
      </c>
      <c r="C73" s="88"/>
      <c r="D73" s="88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>
        <v>109087478468.69838</v>
      </c>
      <c r="R73" s="17">
        <v>98659697120.464645</v>
      </c>
      <c r="S73" s="17">
        <v>9511682815.6479168</v>
      </c>
      <c r="T73" s="17">
        <v>21537344877.501709</v>
      </c>
      <c r="U73" s="17">
        <v>34757272976.207794</v>
      </c>
      <c r="V73" s="17">
        <v>59398389492.643738</v>
      </c>
      <c r="W73" s="17"/>
      <c r="X73" s="17"/>
      <c r="Y73" s="17">
        <v>125203690162.00116</v>
      </c>
      <c r="Z73" s="17">
        <v>54866477883.122765</v>
      </c>
      <c r="AA73" s="17">
        <v>43525509517.975929</v>
      </c>
      <c r="AB73" s="17">
        <v>19758111676.930389</v>
      </c>
      <c r="AC73" s="17">
        <v>74754959989.071899</v>
      </c>
      <c r="AD73" s="17">
        <v>192905059067.10098</v>
      </c>
      <c r="AE73" s="17">
        <v>45194753252.105965</v>
      </c>
      <c r="AF73" s="17">
        <v>25709507676.022179</v>
      </c>
      <c r="AG73" s="17">
        <v>25707344819.42157</v>
      </c>
      <c r="AH73" s="17">
        <v>56989646325.043671</v>
      </c>
      <c r="AI73" s="17">
        <v>153602252072.59338</v>
      </c>
      <c r="AJ73" s="17">
        <v>22450167734.630192</v>
      </c>
      <c r="AK73" s="17">
        <v>66214487589.058258</v>
      </c>
      <c r="AL73" s="17">
        <v>59737224919.877838</v>
      </c>
      <c r="AM73" s="17">
        <v>47940760935.872742</v>
      </c>
      <c r="AN73" s="17">
        <v>413975520913.32275</v>
      </c>
      <c r="AO73" s="17">
        <v>109487428497.81754</v>
      </c>
      <c r="AP73" s="17">
        <v>90272628918.347565</v>
      </c>
      <c r="AQ73" s="17">
        <v>87480491213.533142</v>
      </c>
      <c r="AR73" s="17">
        <v>75717426088.652344</v>
      </c>
      <c r="AS73" s="17">
        <v>362956974718.35059</v>
      </c>
      <c r="AT73" s="17">
        <v>121137620179.2536</v>
      </c>
      <c r="AU73" s="17"/>
      <c r="AV73" s="17"/>
      <c r="AW73" s="17">
        <v>31049027693.149628</v>
      </c>
      <c r="AX73" s="17">
        <v>98391987401.098694</v>
      </c>
      <c r="AY73" s="17">
        <v>70905260928.128143</v>
      </c>
      <c r="AZ73" s="17">
        <v>88663655323.688446</v>
      </c>
      <c r="BA73" s="17">
        <v>199760057416.1651</v>
      </c>
      <c r="BC73" s="17">
        <v>65806300669.357422</v>
      </c>
      <c r="BD73" s="17">
        <v>118150099078.02908</v>
      </c>
      <c r="BE73" s="17">
        <v>96611605747.549713</v>
      </c>
      <c r="BF73" s="17">
        <v>148400880243.56628</v>
      </c>
      <c r="BG73" s="17">
        <v>287239548629.69824</v>
      </c>
    </row>
    <row r="74" spans="2:59" x14ac:dyDescent="0.25">
      <c r="B74" s="92" t="s">
        <v>86</v>
      </c>
      <c r="C74" s="88"/>
      <c r="D74" s="88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>
        <v>-62134257610</v>
      </c>
      <c r="R74" s="17">
        <v>-55428847632.184738</v>
      </c>
      <c r="S74" s="17">
        <v>-7161548270.240901</v>
      </c>
      <c r="T74" s="17">
        <v>-21150112352.864899</v>
      </c>
      <c r="U74" s="17">
        <v>-27947390370.466923</v>
      </c>
      <c r="V74" s="17">
        <v>-39441475871.030884</v>
      </c>
      <c r="W74" s="17"/>
      <c r="X74" s="17"/>
      <c r="Y74" s="17">
        <v>-95699526864.603607</v>
      </c>
      <c r="Z74" s="17">
        <v>-52913493148.89563</v>
      </c>
      <c r="AA74" s="17">
        <v>-15366160437.10437</v>
      </c>
      <c r="AB74" s="17">
        <v>-11642042403.890152</v>
      </c>
      <c r="AC74" s="17">
        <v>-29591938604.01973</v>
      </c>
      <c r="AD74" s="17">
        <v>-109512634593.90988</v>
      </c>
      <c r="AE74" s="17">
        <v>-52334078750.514198</v>
      </c>
      <c r="AF74" s="17">
        <v>-34656104913.485802</v>
      </c>
      <c r="AG74" s="17">
        <v>-15620019974</v>
      </c>
      <c r="AH74" s="17">
        <v>-19856221316</v>
      </c>
      <c r="AI74" s="17">
        <v>-122466424954</v>
      </c>
      <c r="AJ74" s="17">
        <v>-21075310994</v>
      </c>
      <c r="AK74" s="17">
        <v>-11623128035.2188</v>
      </c>
      <c r="AL74" s="17">
        <v>-7534348657.091198</v>
      </c>
      <c r="AM74" s="17">
        <v>-37790487841</v>
      </c>
      <c r="AN74" s="17">
        <v>-280350117357.22998</v>
      </c>
      <c r="AO74" s="17">
        <v>-78108287712</v>
      </c>
      <c r="AP74" s="17">
        <v>-73306890151.779999</v>
      </c>
      <c r="AQ74" s="17">
        <v>-69087671084.486084</v>
      </c>
      <c r="AR74" s="17">
        <v>-65473290970.693939</v>
      </c>
      <c r="AS74" s="17">
        <v>-285976139918.96002</v>
      </c>
      <c r="AT74" s="17">
        <v>-105324933516</v>
      </c>
      <c r="AU74" s="17"/>
      <c r="AV74" s="17"/>
      <c r="AW74" s="17">
        <v>-28311660623.105801</v>
      </c>
      <c r="AX74" s="17">
        <v>-68278653586</v>
      </c>
      <c r="AY74" s="17">
        <v>-86990183664</v>
      </c>
      <c r="AZ74" s="17">
        <v>-32698439029.2188</v>
      </c>
      <c r="BA74" s="17">
        <v>-151415177863.78</v>
      </c>
      <c r="BC74" s="17">
        <v>-56259050993.572723</v>
      </c>
      <c r="BD74" s="17">
        <v>-79920695989.890152</v>
      </c>
      <c r="BE74" s="17">
        <v>-102610203638</v>
      </c>
      <c r="BF74" s="17">
        <v>-40231787686.309998</v>
      </c>
      <c r="BG74" s="17">
        <v>-220502848948.26608</v>
      </c>
    </row>
    <row r="75" spans="2:59" x14ac:dyDescent="0.25">
      <c r="B75" s="92" t="s">
        <v>87</v>
      </c>
      <c r="C75" s="88"/>
      <c r="D75" s="88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>
        <v>33009699239.52</v>
      </c>
      <c r="R75" s="17">
        <v>34808441461.583702</v>
      </c>
      <c r="S75" s="17">
        <v>2800840168.2454176</v>
      </c>
      <c r="T75" s="17">
        <v>3098771844.7783575</v>
      </c>
      <c r="U75" s="17">
        <v>7736604629.0781097</v>
      </c>
      <c r="V75" s="17">
        <v>5142112039.26367</v>
      </c>
      <c r="W75" s="17"/>
      <c r="X75" s="17"/>
      <c r="Y75" s="17">
        <v>18779328681.365555</v>
      </c>
      <c r="Z75" s="17">
        <v>24291803558.870003</v>
      </c>
      <c r="AA75" s="17">
        <v>24132245917.244774</v>
      </c>
      <c r="AB75" s="17">
        <v>19875463802.739655</v>
      </c>
      <c r="AC75" s="17">
        <v>29745423719.411377</v>
      </c>
      <c r="AD75" s="17">
        <v>98043936998.265808</v>
      </c>
      <c r="AE75" s="17">
        <v>30681091425.900005</v>
      </c>
      <c r="AF75" s="17">
        <v>20509471614.590702</v>
      </c>
      <c r="AG75" s="17">
        <v>9731414756.7892914</v>
      </c>
      <c r="AH75" s="17">
        <v>32048726346.369995</v>
      </c>
      <c r="AI75" s="17">
        <v>92969704143.649994</v>
      </c>
      <c r="AJ75" s="17">
        <v>49174752749.926895</v>
      </c>
      <c r="AK75" s="17">
        <v>15940604802.143013</v>
      </c>
      <c r="AL75" s="17">
        <v>54892348028.650063</v>
      </c>
      <c r="AM75" s="17">
        <v>97627174152.450012</v>
      </c>
      <c r="AN75" s="17">
        <v>0</v>
      </c>
      <c r="AO75" s="17">
        <v>0</v>
      </c>
      <c r="AP75" s="17">
        <v>0</v>
      </c>
      <c r="AQ75" s="17">
        <v>0</v>
      </c>
      <c r="AR75" s="17">
        <v>0</v>
      </c>
      <c r="AS75" s="17">
        <v>0</v>
      </c>
      <c r="AT75" s="17">
        <v>0</v>
      </c>
      <c r="AU75" s="17"/>
      <c r="AV75" s="17"/>
      <c r="AW75" s="17">
        <v>5899612013.0237751</v>
      </c>
      <c r="AX75" s="17">
        <v>48424049476.114777</v>
      </c>
      <c r="AY75" s="17">
        <v>51189563040.490707</v>
      </c>
      <c r="AZ75" s="17">
        <v>65116357552.069908</v>
      </c>
      <c r="BA75" s="17">
        <v>0</v>
      </c>
      <c r="BC75" s="17">
        <v>13637216642.101885</v>
      </c>
      <c r="BD75" s="17">
        <v>68298513278.854431</v>
      </c>
      <c r="BE75" s="17">
        <v>60920977797.279999</v>
      </c>
      <c r="BF75" s="17">
        <v>120007705580.71997</v>
      </c>
      <c r="BG75" s="17">
        <v>0</v>
      </c>
    </row>
    <row r="76" spans="2:59" x14ac:dyDescent="0.25">
      <c r="B76" s="92" t="s">
        <v>88</v>
      </c>
      <c r="C76" s="88"/>
      <c r="D76" s="88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>
        <v>-32684769595</v>
      </c>
      <c r="R76" s="17">
        <v>-44790456668.769997</v>
      </c>
      <c r="S76" s="17">
        <v>-4511169989.5799999</v>
      </c>
      <c r="T76" s="17">
        <v>-2780911162.5</v>
      </c>
      <c r="U76" s="17">
        <v>-6248003438.289999</v>
      </c>
      <c r="V76" s="17">
        <v>-6461648937.2755585</v>
      </c>
      <c r="W76" s="17"/>
      <c r="X76" s="17"/>
      <c r="Y76" s="17">
        <v>-20001733527.645557</v>
      </c>
      <c r="Z76" s="17">
        <v>-13610035653.52</v>
      </c>
      <c r="AA76" s="17">
        <v>-25858384263.140003</v>
      </c>
      <c r="AB76" s="17">
        <v>-17977040740.259995</v>
      </c>
      <c r="AC76" s="17">
        <v>-46283455080.819992</v>
      </c>
      <c r="AD76" s="17">
        <v>-103727915737.73999</v>
      </c>
      <c r="AE76" s="17">
        <v>-16806000000</v>
      </c>
      <c r="AF76" s="17">
        <v>-15265682851.700001</v>
      </c>
      <c r="AG76" s="17">
        <v>-13494468274.899998</v>
      </c>
      <c r="AH76" s="17">
        <v>-19628722882.400002</v>
      </c>
      <c r="AI76" s="17">
        <v>-65194874009</v>
      </c>
      <c r="AJ76" s="17">
        <v>-28967370838.02</v>
      </c>
      <c r="AK76" s="17">
        <v>-27089246429.280003</v>
      </c>
      <c r="AL76" s="17">
        <v>-40639291840.319992</v>
      </c>
      <c r="AM76" s="17">
        <v>-105632932722.23001</v>
      </c>
      <c r="AN76" s="17">
        <v>0</v>
      </c>
      <c r="AO76" s="17">
        <v>0</v>
      </c>
      <c r="AP76" s="17">
        <v>0</v>
      </c>
      <c r="AQ76" s="17">
        <v>0</v>
      </c>
      <c r="AR76" s="17">
        <v>0</v>
      </c>
      <c r="AS76" s="17">
        <v>0</v>
      </c>
      <c r="AT76" s="17">
        <v>0</v>
      </c>
      <c r="AU76" s="17"/>
      <c r="AV76" s="17"/>
      <c r="AW76" s="17">
        <v>-7292081152.0799999</v>
      </c>
      <c r="AX76" s="17">
        <v>-39468419916.660004</v>
      </c>
      <c r="AY76" s="17">
        <v>-32071682851.700001</v>
      </c>
      <c r="AZ76" s="17">
        <v>-56055617267.300003</v>
      </c>
      <c r="BA76" s="17">
        <v>0</v>
      </c>
      <c r="BC76" s="17">
        <v>-13540084590.369999</v>
      </c>
      <c r="BD76" s="17">
        <v>-57445460656.919998</v>
      </c>
      <c r="BE76" s="17">
        <v>-45566151126.599998</v>
      </c>
      <c r="BF76" s="17">
        <v>-96694909107.619995</v>
      </c>
      <c r="BG76" s="17">
        <v>0</v>
      </c>
    </row>
    <row r="77" spans="2:59" x14ac:dyDescent="0.25">
      <c r="B77" s="92" t="s">
        <v>268</v>
      </c>
      <c r="C77" s="88"/>
      <c r="D77" s="88"/>
      <c r="Q77" s="17">
        <v>0</v>
      </c>
      <c r="R77" s="17">
        <v>0</v>
      </c>
      <c r="S77" s="17">
        <v>0</v>
      </c>
      <c r="T77" s="17">
        <v>0</v>
      </c>
      <c r="U77" s="17">
        <v>0</v>
      </c>
      <c r="V77" s="17">
        <v>604894142.50041795</v>
      </c>
      <c r="W77" s="17"/>
      <c r="X77" s="17"/>
      <c r="Y77" s="17">
        <v>604894142.50041795</v>
      </c>
      <c r="Z77" s="17">
        <v>0</v>
      </c>
      <c r="AA77" s="17">
        <v>0</v>
      </c>
      <c r="AB77" s="17">
        <v>0</v>
      </c>
      <c r="AC77" s="17">
        <v>0</v>
      </c>
      <c r="AD77" s="17">
        <v>0</v>
      </c>
      <c r="AE77" s="17">
        <v>0</v>
      </c>
      <c r="AF77" s="17">
        <v>0</v>
      </c>
      <c r="AG77" s="17">
        <v>0</v>
      </c>
      <c r="AH77" s="17">
        <v>0</v>
      </c>
      <c r="AI77" s="17">
        <v>0</v>
      </c>
      <c r="AJ77" s="17">
        <v>0</v>
      </c>
      <c r="AK77" s="17">
        <v>0</v>
      </c>
      <c r="AL77" s="17">
        <v>0</v>
      </c>
      <c r="AM77" s="17">
        <v>0</v>
      </c>
      <c r="AN77" s="17">
        <v>0</v>
      </c>
      <c r="AO77" s="17">
        <v>0</v>
      </c>
      <c r="AP77" s="17">
        <v>0</v>
      </c>
      <c r="AQ77" s="17">
        <v>0</v>
      </c>
      <c r="AR77" s="17">
        <v>0</v>
      </c>
      <c r="AS77" s="17">
        <v>0</v>
      </c>
      <c r="AT77" s="17">
        <v>0</v>
      </c>
      <c r="AU77" s="17"/>
      <c r="AW77" s="17">
        <v>0</v>
      </c>
      <c r="AX77" s="17">
        <v>0</v>
      </c>
      <c r="AY77" s="17">
        <v>0</v>
      </c>
      <c r="AZ77" s="17">
        <v>0</v>
      </c>
      <c r="BA77" s="17">
        <v>0</v>
      </c>
      <c r="BC77" s="17">
        <v>0</v>
      </c>
      <c r="BD77" s="17">
        <v>0</v>
      </c>
      <c r="BE77" s="17">
        <v>0</v>
      </c>
      <c r="BF77" s="17">
        <v>0</v>
      </c>
      <c r="BG77" s="17">
        <v>0</v>
      </c>
    </row>
    <row r="78" spans="2:59" x14ac:dyDescent="0.25">
      <c r="B78" s="93" t="s">
        <v>89</v>
      </c>
      <c r="C78" s="93"/>
      <c r="D78" s="93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>
        <v>-26562521459.856998</v>
      </c>
      <c r="R78" s="17">
        <v>-32305464807.611401</v>
      </c>
      <c r="S78" s="17">
        <v>-5834626413.7529802</v>
      </c>
      <c r="T78" s="17">
        <v>-9772657445.2725029</v>
      </c>
      <c r="U78" s="17">
        <v>-7045570917.9236832</v>
      </c>
      <c r="V78" s="17">
        <v>-10873621764.54129</v>
      </c>
      <c r="W78" s="17"/>
      <c r="X78" s="17"/>
      <c r="Y78" s="17">
        <v>-33528476541.490456</v>
      </c>
      <c r="Z78" s="17">
        <v>-6071860685.8894405</v>
      </c>
      <c r="AA78" s="17">
        <v>-10707407015.1141</v>
      </c>
      <c r="AB78" s="17">
        <v>-4358829532.7659454</v>
      </c>
      <c r="AC78" s="17">
        <v>-13414617952.781288</v>
      </c>
      <c r="AD78" s="17">
        <v>-34552715186.550774</v>
      </c>
      <c r="AE78" s="17">
        <v>-4559622959.1439867</v>
      </c>
      <c r="AF78" s="17">
        <v>-11570196272.88427</v>
      </c>
      <c r="AG78" s="17">
        <v>-8017819157.0738831</v>
      </c>
      <c r="AH78" s="17">
        <v>-14682801557.391685</v>
      </c>
      <c r="AI78" s="17">
        <v>-42743439946.493828</v>
      </c>
      <c r="AJ78" s="17">
        <v>-9874551272.0891838</v>
      </c>
      <c r="AK78" s="17">
        <v>-11507598543.12001</v>
      </c>
      <c r="AL78" s="17">
        <v>-11093745781.50946</v>
      </c>
      <c r="AM78" s="17">
        <v>-19712919858.562172</v>
      </c>
      <c r="AN78" s="17">
        <v>-52189815455.562202</v>
      </c>
      <c r="AO78" s="17">
        <v>-11330585964.076811</v>
      </c>
      <c r="AP78" s="17">
        <v>-15479906348.635496</v>
      </c>
      <c r="AQ78" s="17">
        <v>-13064597628.10033</v>
      </c>
      <c r="AR78" s="17">
        <v>-17972034221.384636</v>
      </c>
      <c r="AS78" s="17">
        <v>-57848124162.197273</v>
      </c>
      <c r="AT78" s="17">
        <v>-20198684711.877567</v>
      </c>
      <c r="AU78" s="17"/>
      <c r="AV78" s="17"/>
      <c r="AW78" s="17">
        <v>-15608283859.025482</v>
      </c>
      <c r="AX78" s="17">
        <v>-16779267701.00354</v>
      </c>
      <c r="AY78" s="17">
        <v>-16129819232.028257</v>
      </c>
      <c r="AZ78" s="17">
        <v>-21383149815.209194</v>
      </c>
      <c r="BA78" s="17">
        <v>-26811492312.712307</v>
      </c>
      <c r="BC78" s="17">
        <v>-22653854776.949165</v>
      </c>
      <c r="BD78" s="17">
        <v>-21138097233.769485</v>
      </c>
      <c r="BE78" s="17">
        <v>-28059638389.102142</v>
      </c>
      <c r="BF78" s="17">
        <v>-32476895596.718655</v>
      </c>
      <c r="BG78" s="17">
        <v>-39876089940.812637</v>
      </c>
    </row>
    <row r="79" spans="2:59" x14ac:dyDescent="0.25">
      <c r="B79" s="86" t="s">
        <v>284</v>
      </c>
      <c r="C79" s="94"/>
      <c r="D79" s="95"/>
      <c r="E79" s="96" t="s">
        <v>261</v>
      </c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21">
        <v>19608723127.981499</v>
      </c>
      <c r="R79" s="21">
        <v>21610232455.130501</v>
      </c>
      <c r="S79" s="21">
        <v>-5292529433.0314722</v>
      </c>
      <c r="T79" s="21">
        <v>-10669177445.820976</v>
      </c>
      <c r="U79" s="21">
        <v>596379880.36247826</v>
      </c>
      <c r="V79" s="21">
        <v>8286830242.8050003</v>
      </c>
      <c r="W79" s="22"/>
      <c r="X79" s="22"/>
      <c r="Y79" s="21">
        <v>-7078623713.4049721</v>
      </c>
      <c r="Z79" s="21">
        <v>6907523082.525465</v>
      </c>
      <c r="AA79" s="21">
        <v>63850812728.261322</v>
      </c>
      <c r="AB79" s="21">
        <v>5081304116.4334373</v>
      </c>
      <c r="AC79" s="21">
        <v>14198307433.614677</v>
      </c>
      <c r="AD79" s="21">
        <v>90037540686.342072</v>
      </c>
      <c r="AE79" s="21">
        <v>2547076995.4100256</v>
      </c>
      <c r="AF79" s="21">
        <v>-12513304244.376835</v>
      </c>
      <c r="AG79" s="21">
        <v>391766203.61130905</v>
      </c>
      <c r="AH79" s="21">
        <v>32598889028.287529</v>
      </c>
      <c r="AI79" s="21">
        <v>19113427982.932045</v>
      </c>
      <c r="AJ79" s="21">
        <v>13798755537.289467</v>
      </c>
      <c r="AK79" s="21">
        <v>32905272293.407669</v>
      </c>
      <c r="AL79" s="21">
        <v>53027943746.43956</v>
      </c>
      <c r="AM79" s="21">
        <f>-17314774341.2351-10^6</f>
        <v>-17315774341.2351</v>
      </c>
      <c r="AN79" s="21">
        <f>SUM(AN57:AN78)</f>
        <v>82417197236.764893</v>
      </c>
      <c r="AO79" s="21">
        <v>20079273440.445328</v>
      </c>
      <c r="AP79" s="21">
        <f>SUM(AP57:AP78)+10^6</f>
        <v>1254473945.3216877</v>
      </c>
      <c r="AQ79" s="21">
        <f>SUM(AQ57:AQ78)-1*10^6</f>
        <v>6143125339.2687035</v>
      </c>
      <c r="AR79" s="21">
        <f>SUM(AR57:AR78)+10^6</f>
        <v>-7491520198.5197983</v>
      </c>
      <c r="AS79" s="21">
        <f>SUM(AS57:AS78)</f>
        <v>19984352526.515923</v>
      </c>
      <c r="AT79" s="21">
        <f>SUM(AT57:AT78)</f>
        <v>-4262485797.4744606</v>
      </c>
      <c r="AU79" s="22"/>
      <c r="AV79" s="96"/>
      <c r="AW79" s="21">
        <v>-15961706878.852448</v>
      </c>
      <c r="AX79" s="21">
        <v>70759335810.786743</v>
      </c>
      <c r="AY79" s="21">
        <v>-9966227248.9667988</v>
      </c>
      <c r="AZ79" s="21">
        <v>46704027830.697159</v>
      </c>
      <c r="BA79" s="21">
        <f>SUM(BA57:BA78)+10^6</f>
        <v>21332747385.767033</v>
      </c>
      <c r="BC79" s="21">
        <v>-15365526998.485973</v>
      </c>
      <c r="BD79" s="21">
        <v>75840256511.620209</v>
      </c>
      <c r="BE79" s="21">
        <v>-13486461045.355492</v>
      </c>
      <c r="BF79" s="21">
        <v>99731971577.136719</v>
      </c>
      <c r="BG79" s="21">
        <f>SUM(BG57:BG78)</f>
        <v>27475872725.035721</v>
      </c>
    </row>
    <row r="80" spans="2:59" x14ac:dyDescent="0.25">
      <c r="B80" s="94"/>
      <c r="C80" s="94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22"/>
      <c r="R80" s="22"/>
      <c r="S80" s="95"/>
      <c r="T80" s="95"/>
      <c r="U80" s="95"/>
      <c r="V80" s="95"/>
      <c r="W80" s="95"/>
      <c r="X80" s="95"/>
      <c r="Y80" s="22"/>
      <c r="Z80" s="95"/>
      <c r="AA80" s="95"/>
      <c r="AB80" s="95"/>
      <c r="AC80" s="95"/>
      <c r="AD80" s="22"/>
      <c r="AE80" s="22"/>
      <c r="AF80" s="22"/>
      <c r="AG80" s="22"/>
      <c r="AH80" s="22"/>
      <c r="AI80" s="95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95"/>
      <c r="AW80" s="95"/>
      <c r="AX80" s="95"/>
      <c r="AY80" s="95"/>
      <c r="AZ80" s="95"/>
      <c r="BA80" s="95"/>
      <c r="BC80" s="95"/>
      <c r="BD80" s="95"/>
      <c r="BE80" s="95"/>
      <c r="BF80" s="95"/>
      <c r="BG80" s="95"/>
    </row>
    <row r="81" spans="2:59" s="68" customFormat="1" ht="14.25" x14ac:dyDescent="0.2">
      <c r="B81" s="97" t="s">
        <v>265</v>
      </c>
      <c r="C81" s="86"/>
      <c r="D81" s="98"/>
      <c r="E81" s="98" t="s">
        <v>262</v>
      </c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22">
        <v>-3799466349.9080391</v>
      </c>
      <c r="R81" s="22">
        <v>2973814172.0446968</v>
      </c>
      <c r="S81" s="18">
        <v>-2519932829.6340952</v>
      </c>
      <c r="T81" s="18">
        <v>-2963723371.5915899</v>
      </c>
      <c r="U81" s="18">
        <v>5099257774.7773447</v>
      </c>
      <c r="V81" s="18">
        <v>7974949185.1782131</v>
      </c>
      <c r="W81" s="18"/>
      <c r="X81" s="18"/>
      <c r="Y81" s="22">
        <v>7590095623.3853149</v>
      </c>
      <c r="Z81" s="18">
        <v>-14148128544.253281</v>
      </c>
      <c r="AA81" s="18">
        <v>19836380721.41658</v>
      </c>
      <c r="AB81" s="18">
        <v>-11494697678.397047</v>
      </c>
      <c r="AC81" s="18">
        <v>13487935401.27042</v>
      </c>
      <c r="AD81" s="22">
        <v>7681083225.543869</v>
      </c>
      <c r="AE81" s="22">
        <v>-3593582366.6674814</v>
      </c>
      <c r="AF81" s="22">
        <v>745314019.61510086</v>
      </c>
      <c r="AG81" s="22">
        <v>-18084689180.518002</v>
      </c>
      <c r="AH81" s="22">
        <v>30640701281.891815</v>
      </c>
      <c r="AI81" s="18">
        <v>9707080804.0214996</v>
      </c>
      <c r="AJ81" s="22">
        <v>-18083461928.168144</v>
      </c>
      <c r="AK81" s="22">
        <v>4314782621.5984879</v>
      </c>
      <c r="AL81" s="22">
        <v>31477687298.08255</v>
      </c>
      <c r="AM81" s="22">
        <f>-28895292526.8253-10^6</f>
        <v>-28896292526.825298</v>
      </c>
      <c r="AN81" s="22">
        <f>-11185754854.8254-10^6</f>
        <v>-11186754854.825399</v>
      </c>
      <c r="AO81" s="22">
        <v>-10462715108.609459</v>
      </c>
      <c r="AP81" s="18">
        <f>AP79+AP53+AP33</f>
        <v>1427063855.5408249</v>
      </c>
      <c r="AQ81" s="18">
        <f>AQ79+AQ53+AQ33</f>
        <v>3497259841.7498665</v>
      </c>
      <c r="AR81" s="22">
        <f>AR79+AR53+AR33-10^6</f>
        <v>18923738962.258587</v>
      </c>
      <c r="AS81" s="22">
        <f>AS79+AS53+AS33-10^6</f>
        <v>13385216411.793739</v>
      </c>
      <c r="AT81" s="22">
        <f>AT79+AT53+AT33</f>
        <v>-7147454049.2110767</v>
      </c>
      <c r="AU81" s="22"/>
      <c r="AV81" s="18"/>
      <c r="AW81" s="18">
        <v>-5483883421.8836823</v>
      </c>
      <c r="AX81" s="18">
        <v>5688132177.1833038</v>
      </c>
      <c r="AY81" s="18">
        <v>-2849348347.0523891</v>
      </c>
      <c r="AZ81" s="18">
        <f>AZ79+AZ53+AZ33</f>
        <v>-13768679306.569691</v>
      </c>
      <c r="BA81" s="18">
        <f>BA79+BA53+BA33</f>
        <v>-9035977429.7996368</v>
      </c>
      <c r="BC81" s="18">
        <v>-384581030.87283325</v>
      </c>
      <c r="BD81" s="18">
        <v>-5806828916.8337097</v>
      </c>
      <c r="BE81" s="18">
        <v>-20934157527.57032</v>
      </c>
      <c r="BF81" s="18">
        <v>17708537671.615265</v>
      </c>
      <c r="BG81" s="18">
        <f>BG79+BG53+BG33</f>
        <v>-5538968853.1042862</v>
      </c>
    </row>
    <row r="82" spans="2:59" x14ac:dyDescent="0.25">
      <c r="B82" s="99" t="s">
        <v>263</v>
      </c>
      <c r="C82" s="88"/>
      <c r="D82" s="88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9">
        <v>13913900678.91</v>
      </c>
      <c r="R82" s="19">
        <v>10114588888.823893</v>
      </c>
      <c r="S82" s="17">
        <v>13088922438</v>
      </c>
      <c r="T82" s="17">
        <v>10568989608.36591</v>
      </c>
      <c r="U82" s="17">
        <v>7604939016.1163139</v>
      </c>
      <c r="V82" s="17">
        <v>12704196790.893658</v>
      </c>
      <c r="W82" s="17"/>
      <c r="X82" s="17"/>
      <c r="Y82" s="19">
        <v>13088922437.745024</v>
      </c>
      <c r="Z82" s="17">
        <v>20678592620.950214</v>
      </c>
      <c r="AA82" s="17">
        <v>6530564076.6968975</v>
      </c>
      <c r="AB82" s="17">
        <v>26366844798.113514</v>
      </c>
      <c r="AC82" s="17">
        <v>14871763704.116505</v>
      </c>
      <c r="AD82" s="19">
        <v>20678592620.950214</v>
      </c>
      <c r="AE82" s="19">
        <v>28378799907.494068</v>
      </c>
      <c r="AF82" s="19">
        <v>24832368538.943787</v>
      </c>
      <c r="AG82" s="19">
        <v>25615975056.989922</v>
      </c>
      <c r="AH82" s="19">
        <v>7549666260.2127676</v>
      </c>
      <c r="AI82" s="17">
        <v>28378799907.494068</v>
      </c>
      <c r="AJ82" s="19">
        <v>38181730253.129601</v>
      </c>
      <c r="AK82" s="19">
        <v>20094038842.994453</v>
      </c>
      <c r="AL82" s="19">
        <v>24433208528.506702</v>
      </c>
      <c r="AM82" s="19">
        <v>55910577692</v>
      </c>
      <c r="AN82" s="19">
        <v>38181730253.129601</v>
      </c>
      <c r="AO82" s="19">
        <v>27020888918.516602</v>
      </c>
      <c r="AP82" s="19">
        <v>16558024148.34223</v>
      </c>
      <c r="AQ82" s="19">
        <v>17984953165.635002</v>
      </c>
      <c r="AR82" s="19">
        <v>21481920065.431122</v>
      </c>
      <c r="AS82" s="19">
        <v>27020888918.516602</v>
      </c>
      <c r="AT82" s="19">
        <v>40418674059.845726</v>
      </c>
      <c r="AU82" s="19"/>
      <c r="AV82" s="17"/>
      <c r="AW82" s="17">
        <v>13088922438</v>
      </c>
      <c r="AX82" s="17">
        <v>20678592620.950214</v>
      </c>
      <c r="AY82" s="17">
        <v>28378799907.494068</v>
      </c>
      <c r="AZ82" s="17">
        <v>38181730253.129601</v>
      </c>
      <c r="BA82" s="17">
        <v>27020888918.516602</v>
      </c>
      <c r="BC82" s="17">
        <v>13088922437.745024</v>
      </c>
      <c r="BD82" s="17">
        <v>20678592620.950214</v>
      </c>
      <c r="BE82" s="17">
        <v>28378799907.494068</v>
      </c>
      <c r="BF82" s="17">
        <v>38181730253.129601</v>
      </c>
      <c r="BG82" s="17">
        <v>27020888918.516602</v>
      </c>
    </row>
    <row r="83" spans="2:59" x14ac:dyDescent="0.25">
      <c r="B83" s="99" t="s">
        <v>359</v>
      </c>
      <c r="C83" s="88"/>
      <c r="D83" s="88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>
        <v>0</v>
      </c>
      <c r="R83" s="17">
        <v>0</v>
      </c>
      <c r="S83" s="17">
        <v>0</v>
      </c>
      <c r="T83" s="17">
        <v>0</v>
      </c>
      <c r="U83" s="17">
        <v>0</v>
      </c>
      <c r="V83" s="17">
        <v>0</v>
      </c>
      <c r="W83" s="17">
        <v>0</v>
      </c>
      <c r="X83" s="17">
        <v>0</v>
      </c>
      <c r="Y83" s="17">
        <v>0</v>
      </c>
      <c r="Z83" s="17">
        <v>0</v>
      </c>
      <c r="AA83" s="17">
        <v>0</v>
      </c>
      <c r="AB83" s="17">
        <v>0</v>
      </c>
      <c r="AC83" s="17">
        <v>19124061</v>
      </c>
      <c r="AD83" s="19">
        <v>19124061</v>
      </c>
      <c r="AE83" s="19">
        <v>47150998.117199846</v>
      </c>
      <c r="AF83" s="19">
        <v>39292498.431000181</v>
      </c>
      <c r="AG83" s="19">
        <v>18580383.740819812</v>
      </c>
      <c r="AH83" s="19">
        <v>-8570582.1290299743</v>
      </c>
      <c r="AI83" s="17">
        <v>96453298.159989864</v>
      </c>
      <c r="AJ83" s="19">
        <v>-4229481.9670107411</v>
      </c>
      <c r="AK83" s="19">
        <v>24387063.913799904</v>
      </c>
      <c r="AL83" s="19">
        <v>152184.81002504379</v>
      </c>
      <c r="AM83" s="19">
        <v>6452221.054314211</v>
      </c>
      <c r="AN83" s="19">
        <v>25761988.054314211</v>
      </c>
      <c r="AO83" s="19">
        <v>0</v>
      </c>
      <c r="AP83" s="19">
        <v>0</v>
      </c>
      <c r="AQ83" s="19">
        <v>0</v>
      </c>
      <c r="AR83" s="19">
        <v>12568729.53539996</v>
      </c>
      <c r="AS83" s="19">
        <v>12568729.53539996</v>
      </c>
      <c r="AT83" s="19">
        <v>-81703.155771460239</v>
      </c>
      <c r="AU83" s="19"/>
      <c r="AV83" s="17"/>
      <c r="AW83" s="17">
        <v>0</v>
      </c>
      <c r="AX83" s="17">
        <v>0</v>
      </c>
      <c r="AY83" s="17">
        <v>86443496.548200026</v>
      </c>
      <c r="AZ83" s="17">
        <v>20157581.946789164</v>
      </c>
      <c r="BA83" s="17">
        <v>0</v>
      </c>
      <c r="BC83" s="17"/>
      <c r="BD83" s="17"/>
      <c r="BE83" s="17">
        <v>105023880.28901984</v>
      </c>
      <c r="BF83" s="17">
        <v>20309766.756814208</v>
      </c>
      <c r="BG83" s="17">
        <v>0</v>
      </c>
    </row>
    <row r="84" spans="2:59" ht="15.75" thickBot="1" x14ac:dyDescent="0.3">
      <c r="B84" s="97" t="s">
        <v>264</v>
      </c>
      <c r="C84" s="87"/>
      <c r="D84" s="87"/>
      <c r="Q84" s="26">
        <v>10114934329.001961</v>
      </c>
      <c r="R84" s="26">
        <v>13089403060.868589</v>
      </c>
      <c r="S84" s="26">
        <v>10568989608.365906</v>
      </c>
      <c r="T84" s="26">
        <v>7605266236.7743196</v>
      </c>
      <c r="U84" s="26">
        <v>12704196790.893658</v>
      </c>
      <c r="V84" s="26">
        <v>20679145976.071869</v>
      </c>
      <c r="W84" s="22"/>
      <c r="X84" s="22"/>
      <c r="Y84" s="26">
        <v>20679018061.130341</v>
      </c>
      <c r="Z84" s="26">
        <v>6531464076.6969337</v>
      </c>
      <c r="AA84" s="26">
        <v>26366944798.11348</v>
      </c>
      <c r="AB84" s="26">
        <v>14872047119.716467</v>
      </c>
      <c r="AC84" s="26">
        <v>28378723166.386925</v>
      </c>
      <c r="AD84" s="26">
        <v>28378799907.494083</v>
      </c>
      <c r="AE84" s="26">
        <v>24832368538.943787</v>
      </c>
      <c r="AF84" s="26">
        <v>25615975056.989887</v>
      </c>
      <c r="AG84" s="26">
        <v>7550266260.2127399</v>
      </c>
      <c r="AH84" s="26">
        <v>38181546959.975555</v>
      </c>
      <c r="AI84" s="26">
        <v>38182084009.675552</v>
      </c>
      <c r="AJ84" s="26">
        <v>20094038842.994446</v>
      </c>
      <c r="AK84" s="26">
        <v>24432958528.506741</v>
      </c>
      <c r="AL84" s="26">
        <v>55911048011.399277</v>
      </c>
      <c r="AM84" s="26">
        <f>27021737386.229-10^6</f>
        <v>27020737386.229</v>
      </c>
      <c r="AN84" s="26">
        <f>SUM(AN81:AN83)</f>
        <v>27020737386.358513</v>
      </c>
      <c r="AO84" s="26">
        <v>16558173809.907143</v>
      </c>
      <c r="AP84" s="26">
        <f>AP81+AP82+AP83</f>
        <v>17985088003.883057</v>
      </c>
      <c r="AQ84" s="26">
        <f>AQ81+AQ82+AQ83</f>
        <v>21482213007.384869</v>
      </c>
      <c r="AR84" s="26">
        <f>SUM(AR81:AR83)+10^6</f>
        <v>40419227757.225113</v>
      </c>
      <c r="AS84" s="26">
        <f>SUM(AS81:AS83)</f>
        <v>40418674059.845741</v>
      </c>
      <c r="AT84" s="26">
        <f>SUM(AT81:AT83)+10^6</f>
        <v>33272138307.478878</v>
      </c>
      <c r="AU84" s="22"/>
      <c r="AW84" s="26">
        <v>7605039016.1163177</v>
      </c>
      <c r="AX84" s="26">
        <v>26366724798.133522</v>
      </c>
      <c r="AY84" s="26">
        <v>25615895056.98988</v>
      </c>
      <c r="AZ84" s="26">
        <f>AZ81+AZ82+AZ83</f>
        <v>24433208528.506699</v>
      </c>
      <c r="BA84" s="26">
        <f>BA81+BA82+BA83</f>
        <v>17984911488.716965</v>
      </c>
      <c r="BC84" s="26">
        <v>12704341406.87219</v>
      </c>
      <c r="BD84" s="26">
        <v>14871763704.116505</v>
      </c>
      <c r="BE84" s="26">
        <v>7549666260.2127676</v>
      </c>
      <c r="BF84" s="26">
        <v>55910577691.501678</v>
      </c>
      <c r="BG84" s="26">
        <f>BG81+BG82+BG83</f>
        <v>21481920065.412315</v>
      </c>
    </row>
    <row r="85" spans="2:59" ht="15.75" thickTop="1" x14ac:dyDescent="0.25">
      <c r="B85" s="87"/>
      <c r="C85" s="87"/>
      <c r="D85" s="87"/>
      <c r="Q85" s="19"/>
      <c r="R85" s="19"/>
      <c r="Y85" s="19"/>
      <c r="AD85" s="19"/>
      <c r="AE85" s="19"/>
      <c r="AF85" s="19"/>
      <c r="AG85" s="19"/>
      <c r="AH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Z85" s="15"/>
      <c r="BA85" s="15"/>
      <c r="BG85" s="15"/>
    </row>
    <row r="86" spans="2:59" x14ac:dyDescent="0.25">
      <c r="B86" s="87"/>
      <c r="C86" s="87"/>
      <c r="D86" s="87"/>
      <c r="Q86" s="19"/>
      <c r="R86" s="19"/>
      <c r="Y86" s="19"/>
      <c r="AD86" s="19"/>
      <c r="AE86" s="19"/>
      <c r="AF86" s="19"/>
      <c r="AG86" s="19"/>
      <c r="AH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Z86" s="15"/>
      <c r="BA86" s="15"/>
      <c r="BG86" s="15"/>
    </row>
    <row r="87" spans="2:59" x14ac:dyDescent="0.25">
      <c r="B87" s="87" t="s">
        <v>90</v>
      </c>
      <c r="C87" s="87"/>
      <c r="D87" s="87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25"/>
      <c r="R87" s="25"/>
      <c r="S87" s="40"/>
      <c r="T87" s="40"/>
      <c r="U87" s="40"/>
      <c r="V87" s="40"/>
      <c r="W87" s="40"/>
      <c r="X87" s="40"/>
      <c r="Y87" s="25"/>
      <c r="Z87" s="40"/>
      <c r="AA87" s="40"/>
      <c r="AB87" s="40"/>
      <c r="AC87" s="40"/>
      <c r="AD87" s="25"/>
      <c r="AE87" s="25"/>
      <c r="AF87" s="25"/>
      <c r="AG87" s="25"/>
      <c r="AH87" s="25"/>
      <c r="AI87" s="40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40"/>
      <c r="AW87" s="40"/>
      <c r="AX87" s="40"/>
      <c r="AY87" s="40"/>
      <c r="BC87" s="40"/>
      <c r="BD87" s="40"/>
      <c r="BE87" s="40"/>
      <c r="BF87" s="40"/>
      <c r="BG87" s="40"/>
    </row>
    <row r="88" spans="2:59" x14ac:dyDescent="0.25">
      <c r="B88" s="27" t="s">
        <v>91</v>
      </c>
      <c r="C88" s="27"/>
      <c r="D88" s="27"/>
      <c r="Q88" s="20">
        <v>267292</v>
      </c>
      <c r="R88" s="20">
        <v>325184</v>
      </c>
      <c r="S88" s="20">
        <v>0</v>
      </c>
      <c r="T88" s="20">
        <v>63022.14</v>
      </c>
      <c r="U88" s="20">
        <v>63022</v>
      </c>
      <c r="V88" s="20">
        <v>100000</v>
      </c>
      <c r="W88" s="20"/>
      <c r="X88" s="20"/>
      <c r="Y88" s="20">
        <v>0</v>
      </c>
      <c r="Z88" s="20">
        <v>117701.14</v>
      </c>
      <c r="AA88" s="20">
        <v>238430.14</v>
      </c>
      <c r="AB88" s="20">
        <v>190426.14</v>
      </c>
      <c r="AC88" s="20">
        <v>152601.14000000001</v>
      </c>
      <c r="AD88" s="20">
        <v>152601.14000000001</v>
      </c>
      <c r="AE88" s="20">
        <v>513754.5</v>
      </c>
      <c r="AF88" s="20">
        <v>1224292.5</v>
      </c>
      <c r="AG88" s="20">
        <v>786769.1</v>
      </c>
      <c r="AH88" s="20">
        <v>810262.32</v>
      </c>
      <c r="AI88" s="20">
        <v>810262.32</v>
      </c>
      <c r="AJ88" s="20">
        <v>1397513</v>
      </c>
      <c r="AK88" s="20">
        <v>583297</v>
      </c>
      <c r="AL88" s="20">
        <v>621878</v>
      </c>
      <c r="AM88" s="20">
        <v>212380</v>
      </c>
      <c r="AN88" s="20">
        <v>212380</v>
      </c>
      <c r="AO88" s="20">
        <v>561392</v>
      </c>
      <c r="AP88" s="20">
        <v>160435</v>
      </c>
      <c r="AQ88" s="20">
        <v>1210128</v>
      </c>
      <c r="AR88" s="20">
        <v>1010702</v>
      </c>
      <c r="AS88" s="20">
        <v>1010702</v>
      </c>
      <c r="AT88" s="20">
        <v>1112448</v>
      </c>
      <c r="AU88" s="20"/>
      <c r="AW88" s="20">
        <v>238430.14</v>
      </c>
      <c r="AX88" s="20">
        <v>238430.14</v>
      </c>
      <c r="AY88" s="20">
        <v>1224292.5</v>
      </c>
      <c r="AZ88" s="20">
        <v>583297</v>
      </c>
      <c r="BA88" s="20">
        <v>160435</v>
      </c>
      <c r="BC88" s="20">
        <v>63022</v>
      </c>
      <c r="BD88" s="20">
        <v>190426.14</v>
      </c>
      <c r="BE88" s="20">
        <v>786769.1</v>
      </c>
      <c r="BF88" s="20">
        <v>621878</v>
      </c>
      <c r="BG88" s="20">
        <v>1210128</v>
      </c>
    </row>
    <row r="89" spans="2:59" x14ac:dyDescent="0.25">
      <c r="B89" s="27" t="s">
        <v>92</v>
      </c>
      <c r="C89" s="27"/>
      <c r="D89" s="27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W89" s="25"/>
      <c r="AX89" s="25"/>
      <c r="AY89" s="25"/>
      <c r="AZ89" s="25"/>
      <c r="BA89" s="25"/>
      <c r="BC89" s="25"/>
      <c r="BD89" s="25"/>
      <c r="BE89" s="25"/>
      <c r="BF89" s="25"/>
      <c r="BG89" s="25"/>
    </row>
    <row r="90" spans="2:59" x14ac:dyDescent="0.25">
      <c r="B90" s="27" t="s">
        <v>93</v>
      </c>
      <c r="C90" s="27"/>
      <c r="D90" s="27"/>
      <c r="Q90" s="20">
        <v>4781410854.7938929</v>
      </c>
      <c r="R90" s="20">
        <v>11698952619.575024</v>
      </c>
      <c r="S90" s="17">
        <v>8653581315.3398514</v>
      </c>
      <c r="T90" s="20">
        <v>5159942459.5326338</v>
      </c>
      <c r="U90" s="17">
        <v>10550613922.156561</v>
      </c>
      <c r="V90" s="17">
        <v>19473612082.810215</v>
      </c>
      <c r="W90" s="17"/>
      <c r="X90" s="17"/>
      <c r="Y90" s="20">
        <v>19473612082.810215</v>
      </c>
      <c r="Z90" s="17">
        <v>5642145598.6747036</v>
      </c>
      <c r="AA90" s="20">
        <v>19390905942.19437</v>
      </c>
      <c r="AB90" s="20">
        <v>13740147213.585981</v>
      </c>
      <c r="AC90" s="17">
        <v>27358862479.559036</v>
      </c>
      <c r="AD90" s="20">
        <v>27358862479.559036</v>
      </c>
      <c r="AE90" s="20">
        <v>16722510112.697815</v>
      </c>
      <c r="AF90" s="20">
        <v>25615152563.933548</v>
      </c>
      <c r="AG90" s="20">
        <v>7301085743.484807</v>
      </c>
      <c r="AH90" s="20">
        <v>14500245663.64897</v>
      </c>
      <c r="AI90" s="20">
        <v>14500245663.64897</v>
      </c>
      <c r="AJ90" s="20">
        <v>13285936848.183926</v>
      </c>
      <c r="AK90" s="20">
        <v>10404201796.047033</v>
      </c>
      <c r="AL90" s="20">
        <v>16495135123.008785</v>
      </c>
      <c r="AM90" s="20">
        <v>11466051231.526564</v>
      </c>
      <c r="AN90" s="20">
        <v>11466051231.526564</v>
      </c>
      <c r="AO90" s="20">
        <v>10117884306.410847</v>
      </c>
      <c r="AP90" s="20">
        <v>11072008577.916561</v>
      </c>
      <c r="AQ90" s="20">
        <v>12515825116.653589</v>
      </c>
      <c r="AR90" s="20">
        <v>15082998142.943893</v>
      </c>
      <c r="AS90" s="20">
        <v>15082998142.943893</v>
      </c>
      <c r="AT90" s="20">
        <v>6792787064.4045649</v>
      </c>
      <c r="AU90" s="20"/>
      <c r="AW90" s="20">
        <v>5159942459.5326338</v>
      </c>
      <c r="AX90" s="20">
        <v>19390905942.19437</v>
      </c>
      <c r="AY90" s="20">
        <v>25615152563.933548</v>
      </c>
      <c r="AZ90" s="20">
        <v>10404201796.047033</v>
      </c>
      <c r="BA90" s="20">
        <v>11072008577.916561</v>
      </c>
      <c r="BC90" s="20">
        <v>10550613922.156561</v>
      </c>
      <c r="BD90" s="20">
        <v>13740147213.585981</v>
      </c>
      <c r="BE90" s="20">
        <v>7301085743.484807</v>
      </c>
      <c r="BF90" s="20">
        <v>16495135123.008785</v>
      </c>
      <c r="BG90" s="20">
        <v>12515825116.653589</v>
      </c>
    </row>
    <row r="91" spans="2:59" x14ac:dyDescent="0.25">
      <c r="B91" s="28" t="s">
        <v>94</v>
      </c>
      <c r="C91" s="27"/>
      <c r="D91" s="27"/>
      <c r="Q91" s="20">
        <v>5333910742.0299997</v>
      </c>
      <c r="R91" s="20">
        <v>1389644634.03</v>
      </c>
      <c r="S91" s="17">
        <v>1914929477.77</v>
      </c>
      <c r="T91" s="20">
        <v>2445225928</v>
      </c>
      <c r="U91" s="17">
        <v>2152589747.4499998</v>
      </c>
      <c r="V91" s="17">
        <v>1204862837</v>
      </c>
      <c r="W91" s="17"/>
      <c r="X91" s="17"/>
      <c r="Y91" s="20">
        <v>1204862837</v>
      </c>
      <c r="Z91" s="17">
        <v>889343205</v>
      </c>
      <c r="AA91" s="20">
        <v>6975587114</v>
      </c>
      <c r="AB91" s="20">
        <v>1132442429</v>
      </c>
      <c r="AC91" s="17">
        <v>1020095081</v>
      </c>
      <c r="AD91" s="20">
        <v>1020095081</v>
      </c>
      <c r="AE91" s="20">
        <v>8108308037</v>
      </c>
      <c r="AF91" s="20">
        <v>0</v>
      </c>
      <c r="AG91" s="20">
        <v>248104002</v>
      </c>
      <c r="AH91" s="20">
        <v>23680543581</v>
      </c>
      <c r="AI91" s="20">
        <v>23680543581</v>
      </c>
      <c r="AJ91" s="20">
        <v>6807423233.4799995</v>
      </c>
      <c r="AK91" s="20">
        <v>14027991589</v>
      </c>
      <c r="AL91" s="20">
        <v>39415275781.790001</v>
      </c>
      <c r="AM91" s="20">
        <v>15554625306.990002</v>
      </c>
      <c r="AN91" s="20">
        <v>15554625306.990002</v>
      </c>
      <c r="AO91" s="20">
        <v>6438792422.1600027</v>
      </c>
      <c r="AP91" s="20">
        <v>6913322229.4300003</v>
      </c>
      <c r="AQ91" s="20">
        <v>8965496591.5899963</v>
      </c>
      <c r="AR91" s="20">
        <v>25334887487.969994</v>
      </c>
      <c r="AS91" s="20">
        <v>25334887487.969994</v>
      </c>
      <c r="AT91" s="20">
        <v>26478344123.960003</v>
      </c>
      <c r="AU91" s="20"/>
      <c r="AW91" s="20">
        <v>2445225928</v>
      </c>
      <c r="AX91" s="20">
        <v>6975587114</v>
      </c>
      <c r="AY91" s="20">
        <v>0</v>
      </c>
      <c r="AZ91" s="20">
        <v>14027991589</v>
      </c>
      <c r="BA91" s="20">
        <v>6913322229.4300003</v>
      </c>
      <c r="BC91" s="20">
        <v>2152589747.4499998</v>
      </c>
      <c r="BD91" s="20">
        <v>1132442429</v>
      </c>
      <c r="BE91" s="20">
        <v>248104002</v>
      </c>
      <c r="BF91" s="20">
        <v>39415275781.790001</v>
      </c>
      <c r="BG91" s="20">
        <v>8965496591.5899963</v>
      </c>
    </row>
    <row r="92" spans="2:59" ht="15.75" thickBot="1" x14ac:dyDescent="0.3">
      <c r="B92" s="29" t="s">
        <v>95</v>
      </c>
      <c r="C92" s="29"/>
      <c r="D92" s="29"/>
      <c r="Q92" s="26">
        <v>10114588888.823893</v>
      </c>
      <c r="R92" s="26">
        <v>13088922437.605024</v>
      </c>
      <c r="S92" s="26">
        <v>10568510793.109852</v>
      </c>
      <c r="T92" s="26">
        <v>7605231409.6726341</v>
      </c>
      <c r="U92" s="26">
        <v>12704203669.60656</v>
      </c>
      <c r="V92" s="26">
        <v>20679474919.810215</v>
      </c>
      <c r="W92" s="22"/>
      <c r="X92" s="22"/>
      <c r="Y92" s="26">
        <v>20678592620.950214</v>
      </c>
      <c r="Z92" s="26">
        <v>6531488803.6747036</v>
      </c>
      <c r="AA92" s="26">
        <v>26366731486.33437</v>
      </c>
      <c r="AB92" s="26">
        <v>14871780068.725981</v>
      </c>
      <c r="AC92" s="26">
        <v>28379110161.699036</v>
      </c>
      <c r="AD92" s="26">
        <v>28379110161.699036</v>
      </c>
      <c r="AE92" s="26">
        <v>24832331904.197815</v>
      </c>
      <c r="AF92" s="26">
        <v>25616376856.433548</v>
      </c>
      <c r="AG92" s="26">
        <v>7549976514.5848074</v>
      </c>
      <c r="AH92" s="26">
        <v>38181599506.968971</v>
      </c>
      <c r="AI92" s="26">
        <v>38181599506.968971</v>
      </c>
      <c r="AJ92" s="26">
        <v>20093757594.663925</v>
      </c>
      <c r="AK92" s="26">
        <v>24432776682.047035</v>
      </c>
      <c r="AL92" s="26">
        <v>55911032782.798782</v>
      </c>
      <c r="AM92" s="26">
        <v>27020888918.516563</v>
      </c>
      <c r="AN92" s="26">
        <f>SUM(AN88:AN91)</f>
        <v>27020888918.516563</v>
      </c>
      <c r="AO92" s="26">
        <v>16558238120.57085</v>
      </c>
      <c r="AP92" s="26">
        <f>SUM(AP88:AP91)</f>
        <v>17985491242.346561</v>
      </c>
      <c r="AQ92" s="26">
        <f>SUM(AQ88:AQ91)-1*10^6</f>
        <v>21481531836.243584</v>
      </c>
      <c r="AR92" s="26">
        <f>SUM(AR88:AR91)</f>
        <v>40418896332.913887</v>
      </c>
      <c r="AS92" s="26">
        <f>SUM(AS88:AS91)</f>
        <v>40418896332.913887</v>
      </c>
      <c r="AT92" s="26">
        <f>SUM(AT88:AT91)</f>
        <v>33272243636.364567</v>
      </c>
      <c r="AU92" s="22"/>
      <c r="AW92" s="26">
        <v>7605231409.6726341</v>
      </c>
      <c r="AX92" s="26">
        <v>26366731486.33437</v>
      </c>
      <c r="AY92" s="26">
        <v>25616376856.433548</v>
      </c>
      <c r="AZ92" s="26">
        <v>24432776682.047035</v>
      </c>
      <c r="BA92" s="26">
        <f>BA91+BA90+BA88</f>
        <v>17985491242.346561</v>
      </c>
      <c r="BC92" s="26">
        <v>12704266691.60656</v>
      </c>
      <c r="BD92" s="26">
        <v>14871780068.725981</v>
      </c>
      <c r="BE92" s="26">
        <v>7549976514.5848074</v>
      </c>
      <c r="BF92" s="26">
        <v>55911032782.798782</v>
      </c>
      <c r="BG92" s="26">
        <f>SUM(BG88:BG91)-1*10^6</f>
        <v>21481531836.243584</v>
      </c>
    </row>
    <row r="93" spans="2:59" ht="15.75" thickTop="1" x14ac:dyDescent="0.25">
      <c r="B93" s="29"/>
      <c r="C93" s="29"/>
      <c r="D93" s="29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22"/>
      <c r="AV93" s="22"/>
      <c r="AW93" s="22"/>
      <c r="AX93" s="22"/>
      <c r="AY93" s="22"/>
      <c r="AZ93" s="22"/>
      <c r="BA93" s="22"/>
      <c r="BC93" s="22"/>
      <c r="BD93" s="22"/>
      <c r="BE93" s="22"/>
      <c r="BF93" s="22"/>
    </row>
    <row r="94" spans="2:59" x14ac:dyDescent="0.25">
      <c r="AZ94" s="15"/>
      <c r="BA94" s="15"/>
    </row>
  </sheetData>
  <mergeCells count="2">
    <mergeCell ref="B37:D37"/>
    <mergeCell ref="B69:D69"/>
  </mergeCells>
  <pageMargins left="0.7" right="0.7" top="0.75" bottom="0.75" header="0.3" footer="0.3"/>
  <pageSetup orientation="portrait" horizontalDpi="300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J32"/>
  <sheetViews>
    <sheetView showGridLines="0" topLeftCell="I1" zoomScale="67" zoomScaleNormal="80" workbookViewId="0">
      <pane xSplit="1" ySplit="8" topLeftCell="X10" activePane="bottomRight" state="frozen"/>
      <selection activeCell="I1" sqref="I1"/>
      <selection pane="topRight" activeCell="J1" sqref="J1"/>
      <selection pane="bottomLeft" activeCell="I9" sqref="I9"/>
      <selection pane="bottomRight" activeCell="AA31" sqref="AA31"/>
    </sheetView>
  </sheetViews>
  <sheetFormatPr defaultColWidth="9.140625" defaultRowHeight="15" x14ac:dyDescent="0.25"/>
  <cols>
    <col min="1" max="1" width="1.85546875" style="60" customWidth="1"/>
    <col min="2" max="2" width="3.85546875" style="60" hidden="1" customWidth="1"/>
    <col min="3" max="3" width="53.140625" style="60" hidden="1" customWidth="1"/>
    <col min="4" max="4" width="0.85546875" style="60" hidden="1" customWidth="1"/>
    <col min="5" max="6" width="20.7109375" style="60" hidden="1" customWidth="1"/>
    <col min="7" max="7" width="0" style="60" hidden="1" customWidth="1"/>
    <col min="8" max="8" width="9.140625" style="60"/>
    <col min="9" max="9" width="52.7109375" style="60" bestFit="1" customWidth="1"/>
    <col min="10" max="22" width="21.7109375" style="60" customWidth="1"/>
    <col min="23" max="23" width="4.140625" style="60" customWidth="1"/>
    <col min="24" max="27" width="20.7109375" style="60" customWidth="1"/>
    <col min="28" max="28" width="4.5703125" style="60" customWidth="1"/>
    <col min="29" max="32" width="20.7109375" style="60" customWidth="1"/>
    <col min="33" max="33" width="3.5703125" style="60" customWidth="1"/>
    <col min="34" max="36" width="20.7109375" style="60" customWidth="1"/>
    <col min="37" max="16384" width="9.140625" style="60"/>
  </cols>
  <sheetData>
    <row r="1" spans="1:36" x14ac:dyDescent="0.25">
      <c r="B1" s="42" t="s">
        <v>254</v>
      </c>
      <c r="I1" s="42"/>
    </row>
    <row r="2" spans="1:36" x14ac:dyDescent="0.25">
      <c r="B2" s="42" t="s">
        <v>334</v>
      </c>
      <c r="I2" s="42"/>
    </row>
    <row r="3" spans="1:36" x14ac:dyDescent="0.25">
      <c r="B3" s="70" t="s">
        <v>0</v>
      </c>
      <c r="C3" s="100"/>
      <c r="D3" s="100"/>
      <c r="E3" s="100"/>
      <c r="F3" s="100"/>
      <c r="I3" s="42" t="s">
        <v>393</v>
      </c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</row>
    <row r="4" spans="1:36" hidden="1" x14ac:dyDescent="0.25">
      <c r="B4" s="100"/>
      <c r="C4" s="100"/>
      <c r="D4" s="100"/>
      <c r="E4" s="37"/>
      <c r="F4" s="37"/>
      <c r="I4" s="100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</row>
    <row r="5" spans="1:36" hidden="1" x14ac:dyDescent="0.25">
      <c r="B5" s="100"/>
      <c r="C5" s="100"/>
      <c r="D5" s="100"/>
      <c r="E5" s="37"/>
      <c r="F5" s="37"/>
      <c r="I5" s="100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</row>
    <row r="6" spans="1:36" x14ac:dyDescent="0.25">
      <c r="D6" s="100"/>
      <c r="E6" s="37"/>
      <c r="F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</row>
    <row r="7" spans="1:36" ht="28.5" x14ac:dyDescent="0.25">
      <c r="B7" s="55"/>
      <c r="C7" s="55"/>
      <c r="D7" s="55"/>
      <c r="E7" s="104" t="s">
        <v>315</v>
      </c>
      <c r="F7" s="104" t="s">
        <v>314</v>
      </c>
      <c r="I7" s="55"/>
      <c r="J7" s="104" t="s">
        <v>385</v>
      </c>
      <c r="K7" s="104" t="s">
        <v>383</v>
      </c>
      <c r="L7" s="104" t="s">
        <v>410</v>
      </c>
      <c r="M7" s="104" t="s">
        <v>411</v>
      </c>
      <c r="N7" s="104" t="s">
        <v>488</v>
      </c>
      <c r="O7" s="104" t="s">
        <v>517</v>
      </c>
      <c r="P7" s="104" t="s">
        <v>527</v>
      </c>
      <c r="Q7" s="104" t="s">
        <v>543</v>
      </c>
      <c r="R7" s="104" t="s">
        <v>554</v>
      </c>
      <c r="S7" s="104" t="s">
        <v>572</v>
      </c>
      <c r="T7" s="104" t="s">
        <v>579</v>
      </c>
      <c r="U7" s="104" t="s">
        <v>586</v>
      </c>
      <c r="V7" s="104" t="s">
        <v>592</v>
      </c>
      <c r="W7" s="104"/>
      <c r="X7" s="104" t="s">
        <v>287</v>
      </c>
      <c r="Y7" s="104" t="s">
        <v>382</v>
      </c>
      <c r="Z7" s="104" t="s">
        <v>515</v>
      </c>
      <c r="AA7" s="104" t="s">
        <v>571</v>
      </c>
      <c r="AB7" s="104"/>
      <c r="AC7" s="104" t="s">
        <v>418</v>
      </c>
      <c r="AD7" s="104" t="s">
        <v>528</v>
      </c>
      <c r="AE7" s="104" t="s">
        <v>580</v>
      </c>
      <c r="AF7" s="104"/>
      <c r="AG7" s="104"/>
      <c r="AH7" s="104" t="s">
        <v>419</v>
      </c>
      <c r="AI7" s="104" t="s">
        <v>551</v>
      </c>
      <c r="AJ7" s="104" t="s">
        <v>584</v>
      </c>
    </row>
    <row r="8" spans="1:36" x14ac:dyDescent="0.2">
      <c r="B8" s="72"/>
      <c r="C8" s="72"/>
      <c r="D8" s="72"/>
      <c r="E8" s="129" t="s">
        <v>251</v>
      </c>
      <c r="F8" s="129" t="s">
        <v>251</v>
      </c>
      <c r="I8" s="72"/>
      <c r="J8" s="129" t="s">
        <v>251</v>
      </c>
      <c r="K8" s="129" t="s">
        <v>251</v>
      </c>
      <c r="L8" s="129" t="s">
        <v>251</v>
      </c>
      <c r="M8" s="129" t="s">
        <v>251</v>
      </c>
      <c r="N8" s="129" t="s">
        <v>251</v>
      </c>
      <c r="O8" s="129" t="s">
        <v>251</v>
      </c>
      <c r="P8" s="129" t="s">
        <v>251</v>
      </c>
      <c r="Q8" s="129" t="s">
        <v>251</v>
      </c>
      <c r="R8" s="129" t="s">
        <v>251</v>
      </c>
      <c r="S8" s="129" t="s">
        <v>251</v>
      </c>
      <c r="T8" s="129" t="s">
        <v>251</v>
      </c>
      <c r="U8" s="129" t="s">
        <v>251</v>
      </c>
      <c r="V8" s="129" t="s">
        <v>251</v>
      </c>
      <c r="W8" s="123"/>
      <c r="X8" s="129" t="s">
        <v>251</v>
      </c>
      <c r="Y8" s="129" t="s">
        <v>251</v>
      </c>
      <c r="Z8" s="129" t="s">
        <v>251</v>
      </c>
      <c r="AA8" s="129" t="s">
        <v>251</v>
      </c>
      <c r="AB8" s="123"/>
      <c r="AC8" s="129" t="s">
        <v>251</v>
      </c>
      <c r="AD8" s="129" t="s">
        <v>251</v>
      </c>
      <c r="AE8" s="129" t="s">
        <v>251</v>
      </c>
      <c r="AF8" s="123"/>
      <c r="AG8" s="123"/>
      <c r="AH8" s="129" t="s">
        <v>251</v>
      </c>
      <c r="AI8" s="129" t="s">
        <v>251</v>
      </c>
      <c r="AJ8" s="129" t="s">
        <v>251</v>
      </c>
    </row>
    <row r="9" spans="1:36" x14ac:dyDescent="0.25">
      <c r="B9" s="42" t="s">
        <v>332</v>
      </c>
      <c r="C9" s="100"/>
      <c r="D9" s="72"/>
      <c r="E9" s="72"/>
      <c r="F9" s="72"/>
      <c r="I9" s="42" t="s">
        <v>332</v>
      </c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</row>
    <row r="10" spans="1:36" x14ac:dyDescent="0.25">
      <c r="B10" s="60" t="s">
        <v>59</v>
      </c>
      <c r="E10" s="130">
        <v>51581</v>
      </c>
      <c r="F10" s="130">
        <v>41053</v>
      </c>
      <c r="I10" s="60" t="s">
        <v>587</v>
      </c>
      <c r="J10" s="130">
        <v>-6614</v>
      </c>
      <c r="K10" s="130">
        <v>-986</v>
      </c>
      <c r="L10" s="130">
        <v>-4013</v>
      </c>
      <c r="M10" s="130">
        <v>74</v>
      </c>
      <c r="N10" s="130">
        <v>2983</v>
      </c>
      <c r="O10" s="130">
        <v>3771</v>
      </c>
      <c r="P10" s="130">
        <v>-3216</v>
      </c>
      <c r="Q10" s="130">
        <v>609</v>
      </c>
      <c r="R10" s="130">
        <v>394</v>
      </c>
      <c r="S10" s="130">
        <v>4939</v>
      </c>
      <c r="T10" s="130">
        <v>-3879</v>
      </c>
      <c r="U10" s="130">
        <v>3137</v>
      </c>
      <c r="V10" s="130">
        <v>5131</v>
      </c>
      <c r="W10" s="207"/>
      <c r="X10" s="130">
        <v>-6189</v>
      </c>
      <c r="Y10" s="130">
        <v>-1090</v>
      </c>
      <c r="Z10" s="130">
        <v>6754</v>
      </c>
      <c r="AA10" s="130">
        <v>5333</v>
      </c>
      <c r="AB10" s="207"/>
      <c r="AC10" s="207">
        <v>-5103</v>
      </c>
      <c r="AD10" s="207">
        <v>3538</v>
      </c>
      <c r="AE10" s="207">
        <v>1454</v>
      </c>
      <c r="AF10" s="207"/>
      <c r="AG10" s="207"/>
      <c r="AH10" s="130">
        <v>-5029</v>
      </c>
      <c r="AI10" s="130">
        <v>4147</v>
      </c>
      <c r="AJ10" s="130">
        <v>4591</v>
      </c>
    </row>
    <row r="11" spans="1:36" x14ac:dyDescent="0.25">
      <c r="A11" s="55"/>
      <c r="B11" s="60" t="s">
        <v>319</v>
      </c>
      <c r="E11" s="131">
        <v>-1235</v>
      </c>
      <c r="F11" s="131">
        <v>-1629</v>
      </c>
      <c r="I11" s="60" t="s">
        <v>386</v>
      </c>
      <c r="J11" s="131">
        <v>-343</v>
      </c>
      <c r="K11" s="131">
        <v>-718</v>
      </c>
      <c r="L11" s="131">
        <v>-687</v>
      </c>
      <c r="M11" s="131">
        <v>-905</v>
      </c>
      <c r="N11" s="131">
        <v>-1521</v>
      </c>
      <c r="O11" s="131">
        <v>-1163</v>
      </c>
      <c r="P11" s="131">
        <v>-1604</v>
      </c>
      <c r="Q11" s="131">
        <v>-984</v>
      </c>
      <c r="R11" s="131">
        <v>-1154</v>
      </c>
      <c r="S11" s="131">
        <v>-1170</v>
      </c>
      <c r="T11" s="131">
        <v>-1243</v>
      </c>
      <c r="U11" s="131">
        <v>-1005</v>
      </c>
      <c r="V11" s="131">
        <v>-1253</v>
      </c>
      <c r="W11" s="131"/>
      <c r="X11" s="131">
        <v>-807</v>
      </c>
      <c r="Y11" s="131">
        <v>-1318</v>
      </c>
      <c r="Z11" s="131">
        <v>-2684</v>
      </c>
      <c r="AA11" s="131">
        <v>-2324</v>
      </c>
      <c r="AB11" s="131"/>
      <c r="AC11" s="131">
        <v>-2005</v>
      </c>
      <c r="AD11" s="131">
        <v>-4288</v>
      </c>
      <c r="AE11" s="131">
        <v>-3567</v>
      </c>
      <c r="AF11" s="131"/>
      <c r="AG11" s="131"/>
      <c r="AH11" s="131">
        <v>-2910</v>
      </c>
      <c r="AI11" s="131">
        <v>-5272</v>
      </c>
      <c r="AJ11" s="131">
        <v>-4572</v>
      </c>
    </row>
    <row r="12" spans="1:36" x14ac:dyDescent="0.25">
      <c r="A12" s="55"/>
      <c r="E12" s="131"/>
      <c r="F12" s="131"/>
      <c r="I12" s="60" t="s">
        <v>426</v>
      </c>
      <c r="J12" s="131"/>
      <c r="K12" s="131"/>
      <c r="L12" s="131"/>
      <c r="M12" s="131">
        <v>-93</v>
      </c>
      <c r="N12" s="131">
        <v>36</v>
      </c>
      <c r="O12" s="131">
        <v>49</v>
      </c>
      <c r="P12" s="131">
        <v>49</v>
      </c>
      <c r="Q12" s="131">
        <v>21</v>
      </c>
      <c r="R12" s="131">
        <v>45</v>
      </c>
      <c r="S12" s="131">
        <v>78</v>
      </c>
      <c r="T12" s="131">
        <v>31</v>
      </c>
      <c r="U12" s="131">
        <v>-132</v>
      </c>
      <c r="V12" s="131">
        <v>2</v>
      </c>
      <c r="W12" s="131"/>
      <c r="X12" s="131"/>
      <c r="Y12" s="131"/>
      <c r="Z12" s="131">
        <v>85</v>
      </c>
      <c r="AA12" s="131">
        <v>123</v>
      </c>
      <c r="AB12" s="131"/>
      <c r="AC12" s="131"/>
      <c r="AD12" s="131">
        <v>134</v>
      </c>
      <c r="AE12" s="131">
        <v>154</v>
      </c>
      <c r="AF12" s="131"/>
      <c r="AG12" s="131"/>
      <c r="AH12" s="131">
        <v>-93</v>
      </c>
      <c r="AI12" s="131">
        <v>155</v>
      </c>
      <c r="AJ12" s="131">
        <v>22</v>
      </c>
    </row>
    <row r="13" spans="1:36" x14ac:dyDescent="0.25">
      <c r="A13" s="55"/>
      <c r="B13" s="60" t="s">
        <v>365</v>
      </c>
      <c r="E13" s="131"/>
      <c r="F13" s="131"/>
      <c r="I13" s="60" t="s">
        <v>387</v>
      </c>
      <c r="J13" s="131">
        <v>3288</v>
      </c>
      <c r="K13" s="131">
        <v>3955</v>
      </c>
      <c r="L13" s="131">
        <v>4075</v>
      </c>
      <c r="M13" s="131">
        <v>4042</v>
      </c>
      <c r="N13" s="131">
        <v>4193</v>
      </c>
      <c r="O13" s="131">
        <v>4433</v>
      </c>
      <c r="P13" s="131">
        <v>4425</v>
      </c>
      <c r="Q13" s="131">
        <v>4532</v>
      </c>
      <c r="R13" s="131">
        <v>4843</v>
      </c>
      <c r="S13" s="131">
        <v>5220</v>
      </c>
      <c r="T13" s="131">
        <v>5233</v>
      </c>
      <c r="U13" s="131">
        <v>5374</v>
      </c>
      <c r="V13" s="131">
        <v>6047</v>
      </c>
      <c r="W13" s="131"/>
      <c r="X13" s="131">
        <v>6449</v>
      </c>
      <c r="Y13" s="131">
        <v>7784</v>
      </c>
      <c r="Z13" s="131">
        <v>8626</v>
      </c>
      <c r="AA13" s="131">
        <v>10063</v>
      </c>
      <c r="AB13" s="131"/>
      <c r="AC13" s="131">
        <v>11859</v>
      </c>
      <c r="AD13" s="131">
        <v>13051</v>
      </c>
      <c r="AE13" s="131">
        <v>15296</v>
      </c>
      <c r="AF13" s="131"/>
      <c r="AG13" s="131"/>
      <c r="AH13" s="131">
        <v>15901</v>
      </c>
      <c r="AI13" s="131">
        <v>17583</v>
      </c>
      <c r="AJ13" s="131">
        <v>20670</v>
      </c>
    </row>
    <row r="14" spans="1:36" x14ac:dyDescent="0.25">
      <c r="B14" s="76" t="s">
        <v>320</v>
      </c>
      <c r="C14" s="55"/>
      <c r="D14" s="55"/>
      <c r="E14" s="131">
        <v>-192</v>
      </c>
      <c r="F14" s="131">
        <v>-201</v>
      </c>
      <c r="I14" s="60" t="s">
        <v>388</v>
      </c>
      <c r="J14" s="131">
        <v>8023</v>
      </c>
      <c r="K14" s="131">
        <v>13963</v>
      </c>
      <c r="L14" s="131">
        <v>11599</v>
      </c>
      <c r="M14" s="131">
        <v>9209</v>
      </c>
      <c r="N14" s="131">
        <v>11077</v>
      </c>
      <c r="O14" s="131">
        <v>12953</v>
      </c>
      <c r="P14" s="131">
        <v>11787</v>
      </c>
      <c r="Q14" s="131">
        <v>11689</v>
      </c>
      <c r="R14" s="131">
        <v>12215</v>
      </c>
      <c r="S14" s="131">
        <v>12597</v>
      </c>
      <c r="T14" s="131">
        <v>12877</v>
      </c>
      <c r="U14" s="131">
        <v>14663</v>
      </c>
      <c r="V14" s="131">
        <v>14453</v>
      </c>
      <c r="W14" s="131"/>
      <c r="X14" s="131">
        <v>17308</v>
      </c>
      <c r="Y14" s="131">
        <v>30158</v>
      </c>
      <c r="Z14" s="131">
        <v>24030</v>
      </c>
      <c r="AA14" s="131">
        <v>24812</v>
      </c>
      <c r="AB14" s="131"/>
      <c r="AC14" s="131">
        <v>41757</v>
      </c>
      <c r="AD14" s="131">
        <v>35817</v>
      </c>
      <c r="AE14" s="131">
        <v>37689</v>
      </c>
      <c r="AF14" s="131"/>
      <c r="AG14" s="131"/>
      <c r="AH14" s="131">
        <v>50966</v>
      </c>
      <c r="AI14" s="131">
        <v>47506</v>
      </c>
      <c r="AJ14" s="131">
        <v>52352</v>
      </c>
    </row>
    <row r="15" spans="1:36" x14ac:dyDescent="0.25">
      <c r="B15" s="76" t="s">
        <v>321</v>
      </c>
      <c r="C15" s="55"/>
      <c r="D15" s="55"/>
      <c r="E15" s="131">
        <v>-3423</v>
      </c>
      <c r="F15" s="131">
        <v>-931</v>
      </c>
      <c r="I15" s="60" t="s">
        <v>389</v>
      </c>
      <c r="J15" s="131">
        <v>855</v>
      </c>
      <c r="K15" s="131">
        <v>-3</v>
      </c>
      <c r="L15" s="131">
        <v>-394</v>
      </c>
      <c r="M15" s="131">
        <v>100</v>
      </c>
      <c r="N15" s="131">
        <v>-94</v>
      </c>
      <c r="O15" s="131">
        <v>-73</v>
      </c>
      <c r="P15" s="131">
        <v>597</v>
      </c>
      <c r="Q15" s="131">
        <v>-981</v>
      </c>
      <c r="R15" s="131">
        <v>77</v>
      </c>
      <c r="S15" s="131">
        <v>-336</v>
      </c>
      <c r="T15" s="131">
        <v>-265</v>
      </c>
      <c r="U15" s="131">
        <v>-71</v>
      </c>
      <c r="V15" s="131">
        <v>24</v>
      </c>
      <c r="W15" s="131"/>
      <c r="X15" s="131">
        <v>855</v>
      </c>
      <c r="Y15" s="131">
        <v>-1062</v>
      </c>
      <c r="Z15" s="131">
        <v>-167</v>
      </c>
      <c r="AA15" s="131">
        <v>-259</v>
      </c>
      <c r="AB15" s="131"/>
      <c r="AC15" s="131">
        <v>-1456</v>
      </c>
      <c r="AD15" s="131">
        <v>430</v>
      </c>
      <c r="AE15" s="131">
        <v>-524</v>
      </c>
      <c r="AF15" s="131"/>
      <c r="AG15" s="131"/>
      <c r="AH15" s="131">
        <v>-1356</v>
      </c>
      <c r="AI15" s="131">
        <v>-551</v>
      </c>
      <c r="AJ15" s="131">
        <v>-595</v>
      </c>
    </row>
    <row r="16" spans="1:36" x14ac:dyDescent="0.25">
      <c r="B16" s="76" t="s">
        <v>322</v>
      </c>
      <c r="C16" s="55"/>
      <c r="D16" s="55"/>
      <c r="E16" s="131">
        <v>-6495</v>
      </c>
      <c r="F16" s="131">
        <v>-4981</v>
      </c>
      <c r="I16" s="60" t="s">
        <v>390</v>
      </c>
      <c r="J16" s="131">
        <v>10512</v>
      </c>
      <c r="K16" s="131">
        <v>0</v>
      </c>
      <c r="L16" s="131">
        <v>0</v>
      </c>
      <c r="M16" s="131">
        <v>0</v>
      </c>
      <c r="N16" s="131">
        <v>0</v>
      </c>
      <c r="O16" s="131">
        <v>0</v>
      </c>
      <c r="P16" s="131">
        <v>0</v>
      </c>
      <c r="Q16" s="131">
        <v>0</v>
      </c>
      <c r="R16" s="131">
        <v>0</v>
      </c>
      <c r="S16" s="131">
        <v>0</v>
      </c>
      <c r="T16" s="131">
        <v>0</v>
      </c>
      <c r="U16" s="131">
        <v>0</v>
      </c>
      <c r="V16" s="131">
        <v>0</v>
      </c>
      <c r="W16" s="131"/>
      <c r="X16" s="131">
        <v>10512</v>
      </c>
      <c r="Y16" s="131">
        <v>0</v>
      </c>
      <c r="Z16" s="131">
        <v>0</v>
      </c>
      <c r="AA16" s="131">
        <v>0</v>
      </c>
      <c r="AB16" s="131"/>
      <c r="AC16" s="131">
        <v>0</v>
      </c>
      <c r="AD16" s="131">
        <v>0</v>
      </c>
      <c r="AE16" s="60">
        <v>0</v>
      </c>
      <c r="AF16" s="131"/>
      <c r="AG16" s="131"/>
      <c r="AH16" s="131">
        <v>0</v>
      </c>
      <c r="AI16" s="131">
        <v>0</v>
      </c>
      <c r="AJ16" s="131">
        <v>0</v>
      </c>
    </row>
    <row r="17" spans="2:36" x14ac:dyDescent="0.25">
      <c r="B17" s="60" t="s">
        <v>323</v>
      </c>
      <c r="E17" s="131">
        <v>2220</v>
      </c>
      <c r="F17" s="131">
        <v>0</v>
      </c>
      <c r="I17" s="60" t="s">
        <v>391</v>
      </c>
      <c r="J17" s="132">
        <v>1334</v>
      </c>
      <c r="K17" s="132">
        <v>1548</v>
      </c>
      <c r="L17" s="132">
        <v>425</v>
      </c>
      <c r="M17" s="132">
        <v>-795</v>
      </c>
      <c r="N17" s="132">
        <v>1611</v>
      </c>
      <c r="O17" s="132">
        <v>948</v>
      </c>
      <c r="P17" s="132">
        <v>-38</v>
      </c>
      <c r="Q17" s="132">
        <v>1474</v>
      </c>
      <c r="R17" s="132">
        <v>2096</v>
      </c>
      <c r="S17" s="132">
        <v>2536</v>
      </c>
      <c r="T17" s="132">
        <v>933</v>
      </c>
      <c r="U17" s="132">
        <v>-122</v>
      </c>
      <c r="V17" s="132">
        <v>2600</v>
      </c>
      <c r="W17" s="131"/>
      <c r="X17" s="132">
        <v>2393</v>
      </c>
      <c r="Y17" s="132">
        <v>2929</v>
      </c>
      <c r="Z17" s="132">
        <v>2559</v>
      </c>
      <c r="AA17" s="132">
        <v>4632</v>
      </c>
      <c r="AB17" s="131"/>
      <c r="AC17" s="131">
        <v>3354</v>
      </c>
      <c r="AD17" s="131">
        <v>2521</v>
      </c>
      <c r="AE17" s="131">
        <v>5566</v>
      </c>
      <c r="AF17" s="131"/>
      <c r="AG17" s="131"/>
      <c r="AH17" s="132">
        <v>2559</v>
      </c>
      <c r="AI17" s="131">
        <v>3995</v>
      </c>
      <c r="AJ17" s="131">
        <v>5443</v>
      </c>
    </row>
    <row r="18" spans="2:36" x14ac:dyDescent="0.25">
      <c r="B18" s="46" t="s">
        <v>324</v>
      </c>
      <c r="E18" s="134">
        <f>SUM(E10:E17)</f>
        <v>42456</v>
      </c>
      <c r="F18" s="134">
        <f>SUM(F10:F17)+1</f>
        <v>33312</v>
      </c>
      <c r="I18" s="60" t="s">
        <v>392</v>
      </c>
      <c r="J18" s="132">
        <v>1129</v>
      </c>
      <c r="K18" s="132">
        <v>450</v>
      </c>
      <c r="L18" s="132">
        <v>623</v>
      </c>
      <c r="M18" s="132">
        <v>378</v>
      </c>
      <c r="N18" s="132">
        <v>314</v>
      </c>
      <c r="O18" s="132">
        <v>380</v>
      </c>
      <c r="P18" s="132">
        <v>509</v>
      </c>
      <c r="Q18" s="132">
        <v>450</v>
      </c>
      <c r="R18" s="132">
        <v>463</v>
      </c>
      <c r="S18" s="132">
        <v>345</v>
      </c>
      <c r="T18" s="132">
        <v>195</v>
      </c>
      <c r="U18" s="132">
        <v>274</v>
      </c>
      <c r="V18" s="132">
        <v>216</v>
      </c>
      <c r="W18" s="131"/>
      <c r="X18" s="132">
        <v>1380</v>
      </c>
      <c r="Y18" s="132">
        <v>965</v>
      </c>
      <c r="Z18" s="132">
        <v>694</v>
      </c>
      <c r="AA18" s="132">
        <v>808</v>
      </c>
      <c r="AB18" s="131"/>
      <c r="AC18" s="131">
        <v>1588</v>
      </c>
      <c r="AD18" s="131">
        <v>1203</v>
      </c>
      <c r="AE18" s="131">
        <v>1003</v>
      </c>
      <c r="AF18" s="131"/>
      <c r="AG18" s="131"/>
      <c r="AH18" s="132">
        <v>1966</v>
      </c>
      <c r="AI18" s="132">
        <v>1653</v>
      </c>
      <c r="AJ18" s="132">
        <v>1277</v>
      </c>
    </row>
    <row r="19" spans="2:36" ht="15.75" thickBot="1" x14ac:dyDescent="0.3">
      <c r="I19" s="46" t="s">
        <v>324</v>
      </c>
      <c r="J19" s="210">
        <v>18184</v>
      </c>
      <c r="K19" s="210">
        <v>18209</v>
      </c>
      <c r="L19" s="210">
        <v>11628</v>
      </c>
      <c r="M19" s="210">
        <v>12010</v>
      </c>
      <c r="N19" s="210">
        <v>18599</v>
      </c>
      <c r="O19" s="210">
        <v>21298</v>
      </c>
      <c r="P19" s="210">
        <v>12509</v>
      </c>
      <c r="Q19" s="210">
        <f t="shared" ref="Q19:V19" si="0">SUM(Q10:Q18)</f>
        <v>16810</v>
      </c>
      <c r="R19" s="210">
        <f t="shared" si="0"/>
        <v>18979</v>
      </c>
      <c r="S19" s="210">
        <f t="shared" si="0"/>
        <v>24209</v>
      </c>
      <c r="T19" s="210">
        <f t="shared" si="0"/>
        <v>13882</v>
      </c>
      <c r="U19" s="210">
        <f t="shared" si="0"/>
        <v>22118</v>
      </c>
      <c r="V19" s="210">
        <f t="shared" si="0"/>
        <v>27220</v>
      </c>
      <c r="W19" s="133"/>
      <c r="X19" s="210">
        <v>31902</v>
      </c>
      <c r="Y19" s="210">
        <v>38366</v>
      </c>
      <c r="Z19" s="210">
        <v>39897</v>
      </c>
      <c r="AA19" s="210">
        <f>SUM(AA10:AA18)</f>
        <v>43188</v>
      </c>
      <c r="AB19" s="133"/>
      <c r="AC19" s="210">
        <v>49994</v>
      </c>
      <c r="AD19" s="210">
        <v>52406</v>
      </c>
      <c r="AE19" s="210">
        <f>SUM(AE10:AE18)-1</f>
        <v>57070</v>
      </c>
      <c r="AF19" s="133"/>
      <c r="AG19" s="133"/>
      <c r="AH19" s="210">
        <v>62004</v>
      </c>
      <c r="AI19" s="210">
        <f>SUM(AI10:AI18)</f>
        <v>69216</v>
      </c>
      <c r="AJ19" s="210">
        <f>SUM(AJ10:AJ18)</f>
        <v>79188</v>
      </c>
    </row>
    <row r="20" spans="2:36" ht="15.75" thickTop="1" x14ac:dyDescent="0.25">
      <c r="AD20" s="133"/>
      <c r="AE20" s="133"/>
      <c r="AF20" s="133"/>
      <c r="AG20" s="133"/>
    </row>
    <row r="21" spans="2:36" x14ac:dyDescent="0.25"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</row>
    <row r="22" spans="2:36" x14ac:dyDescent="0.25">
      <c r="B22" s="46" t="s">
        <v>333</v>
      </c>
      <c r="I22" s="46" t="s">
        <v>333</v>
      </c>
    </row>
    <row r="24" spans="2:36" x14ac:dyDescent="0.25">
      <c r="B24" s="60" t="s">
        <v>324</v>
      </c>
      <c r="E24" s="131">
        <v>42456</v>
      </c>
      <c r="F24" s="131">
        <v>33312</v>
      </c>
      <c r="I24" s="46" t="s">
        <v>324</v>
      </c>
      <c r="J24" s="112">
        <v>18184</v>
      </c>
      <c r="K24" s="112">
        <v>18209</v>
      </c>
      <c r="L24" s="112">
        <v>11628</v>
      </c>
      <c r="M24" s="112">
        <v>12010</v>
      </c>
      <c r="N24" s="112">
        <v>18599</v>
      </c>
      <c r="O24" s="112">
        <v>21298</v>
      </c>
      <c r="P24" s="112">
        <f t="shared" ref="P24:U24" si="1">P19</f>
        <v>12509</v>
      </c>
      <c r="Q24" s="112">
        <f t="shared" si="1"/>
        <v>16810</v>
      </c>
      <c r="R24" s="112">
        <f t="shared" si="1"/>
        <v>18979</v>
      </c>
      <c r="S24" s="112">
        <f t="shared" si="1"/>
        <v>24209</v>
      </c>
      <c r="T24" s="112">
        <f t="shared" si="1"/>
        <v>13882</v>
      </c>
      <c r="U24" s="112">
        <f t="shared" si="1"/>
        <v>22118</v>
      </c>
      <c r="V24" s="112">
        <f t="shared" ref="V24" si="2">V19</f>
        <v>27220</v>
      </c>
      <c r="W24" s="112"/>
      <c r="X24" s="112">
        <v>31902</v>
      </c>
      <c r="Y24" s="112">
        <v>38366</v>
      </c>
      <c r="Z24" s="112">
        <v>39897</v>
      </c>
      <c r="AA24" s="112">
        <f>AA19</f>
        <v>43188</v>
      </c>
      <c r="AB24" s="112"/>
      <c r="AC24" s="112">
        <v>49994</v>
      </c>
      <c r="AD24" s="112">
        <f>AD19</f>
        <v>52406</v>
      </c>
      <c r="AE24" s="112">
        <f>AE19</f>
        <v>57070</v>
      </c>
      <c r="AF24" s="112"/>
      <c r="AG24" s="112"/>
      <c r="AH24" s="112">
        <v>62004</v>
      </c>
      <c r="AI24" s="112">
        <f>AI19</f>
        <v>69216</v>
      </c>
      <c r="AJ24" s="112">
        <v>79188</v>
      </c>
    </row>
    <row r="25" spans="2:36" x14ac:dyDescent="0.25">
      <c r="B25" s="60" t="s">
        <v>325</v>
      </c>
      <c r="E25" s="131">
        <v>-940</v>
      </c>
      <c r="F25" s="131">
        <v>-681</v>
      </c>
      <c r="I25" s="60" t="s">
        <v>420</v>
      </c>
      <c r="J25" s="131">
        <v>343</v>
      </c>
      <c r="K25" s="131">
        <v>718</v>
      </c>
      <c r="L25" s="131">
        <v>687</v>
      </c>
      <c r="M25" s="131">
        <v>905</v>
      </c>
      <c r="N25" s="131">
        <v>1521</v>
      </c>
      <c r="O25" s="131">
        <v>1163</v>
      </c>
      <c r="P25" s="131">
        <v>1604</v>
      </c>
      <c r="Q25" s="131">
        <v>984</v>
      </c>
      <c r="R25" s="131">
        <v>1154</v>
      </c>
      <c r="S25" s="131">
        <v>1170</v>
      </c>
      <c r="T25" s="131">
        <v>1243</v>
      </c>
      <c r="U25" s="131">
        <v>1005</v>
      </c>
      <c r="V25" s="131">
        <v>1253</v>
      </c>
      <c r="W25" s="131"/>
      <c r="X25" s="131">
        <v>807</v>
      </c>
      <c r="Y25" s="131">
        <v>1318</v>
      </c>
      <c r="Z25" s="131">
        <v>2684</v>
      </c>
      <c r="AA25" s="131">
        <v>2324</v>
      </c>
      <c r="AB25" s="131"/>
      <c r="AC25" s="131">
        <v>2005</v>
      </c>
      <c r="AD25" s="131">
        <v>4288</v>
      </c>
      <c r="AE25" s="131">
        <v>3567</v>
      </c>
      <c r="AF25" s="131"/>
      <c r="AG25" s="131"/>
      <c r="AH25" s="131">
        <v>2910</v>
      </c>
      <c r="AI25" s="131">
        <v>5272</v>
      </c>
      <c r="AJ25" s="131">
        <v>4572</v>
      </c>
    </row>
    <row r="26" spans="2:36" x14ac:dyDescent="0.25">
      <c r="B26" s="60" t="s">
        <v>326</v>
      </c>
      <c r="E26" s="131">
        <v>1235</v>
      </c>
      <c r="F26" s="131">
        <v>1629</v>
      </c>
      <c r="I26" s="60" t="s">
        <v>421</v>
      </c>
      <c r="J26" s="131">
        <v>-9261</v>
      </c>
      <c r="K26" s="131">
        <v>-9437</v>
      </c>
      <c r="L26" s="131">
        <v>-6634</v>
      </c>
      <c r="M26" s="131">
        <v>-13116</v>
      </c>
      <c r="N26" s="131">
        <v>-7947</v>
      </c>
      <c r="O26" s="131">
        <v>-9484</v>
      </c>
      <c r="P26" s="131">
        <v>-8481</v>
      </c>
      <c r="Q26" s="131">
        <v>-16425</v>
      </c>
      <c r="R26" s="131">
        <v>-8445</v>
      </c>
      <c r="S26" s="131">
        <v>-11866</v>
      </c>
      <c r="T26" s="131">
        <v>-9085.0899408126352</v>
      </c>
      <c r="U26" s="131">
        <v>-14097.034221384638</v>
      </c>
      <c r="V26" s="131">
        <v>-9840.6847118775659</v>
      </c>
      <c r="W26" s="131"/>
      <c r="X26" s="131">
        <v>-15333</v>
      </c>
      <c r="Y26" s="131">
        <v>-14644</v>
      </c>
      <c r="Z26" s="131">
        <v>-17431</v>
      </c>
      <c r="AA26" s="131">
        <v>-20311</v>
      </c>
      <c r="AB26" s="131"/>
      <c r="AC26" s="131">
        <v>-25190</v>
      </c>
      <c r="AD26" s="131">
        <v>-25912</v>
      </c>
      <c r="AE26" s="131">
        <v>-29396.089940812635</v>
      </c>
      <c r="AF26" s="131"/>
      <c r="AG26" s="131"/>
      <c r="AH26" s="131">
        <v>-38306</v>
      </c>
      <c r="AI26" s="131">
        <v>-42337</v>
      </c>
      <c r="AJ26" s="131">
        <v>-43493.124162197273</v>
      </c>
    </row>
    <row r="27" spans="2:36" x14ac:dyDescent="0.25">
      <c r="B27" s="60" t="s">
        <v>327</v>
      </c>
      <c r="E27" s="131">
        <v>-21138</v>
      </c>
      <c r="F27" s="131">
        <v>-22654</v>
      </c>
      <c r="I27" s="60" t="s">
        <v>422</v>
      </c>
      <c r="J27" s="131">
        <v>-450</v>
      </c>
      <c r="K27" s="131">
        <v>-7</v>
      </c>
      <c r="L27" s="131">
        <v>-271</v>
      </c>
      <c r="M27" s="131">
        <v>-1503</v>
      </c>
      <c r="N27" s="131">
        <v>-140</v>
      </c>
      <c r="O27" s="131">
        <v>-229</v>
      </c>
      <c r="P27" s="131">
        <v>-96</v>
      </c>
      <c r="Q27" s="131">
        <v>-2829</v>
      </c>
      <c r="R27" s="131">
        <v>1510</v>
      </c>
      <c r="S27" s="131">
        <v>-555</v>
      </c>
      <c r="T27" s="131">
        <v>-492</v>
      </c>
      <c r="U27" s="131">
        <v>-2685</v>
      </c>
      <c r="V27" s="131">
        <v>1268</v>
      </c>
      <c r="W27" s="131"/>
      <c r="X27" s="131">
        <v>-416</v>
      </c>
      <c r="Y27" s="131">
        <v>-368</v>
      </c>
      <c r="Z27" s="131">
        <v>-369</v>
      </c>
      <c r="AA27" s="131">
        <v>955</v>
      </c>
      <c r="AB27" s="131"/>
      <c r="AC27" s="131">
        <v>-639</v>
      </c>
      <c r="AD27" s="131">
        <v>-465</v>
      </c>
      <c r="AE27" s="131">
        <v>463</v>
      </c>
      <c r="AF27" s="131"/>
      <c r="AG27" s="131"/>
      <c r="AH27" s="131">
        <v>-2084</v>
      </c>
      <c r="AI27" s="131">
        <v>-3294</v>
      </c>
      <c r="AJ27" s="131">
        <v>-2222</v>
      </c>
    </row>
    <row r="28" spans="2:36" x14ac:dyDescent="0.25">
      <c r="B28" s="60" t="s">
        <v>328</v>
      </c>
      <c r="E28" s="131">
        <v>-677</v>
      </c>
      <c r="F28" s="131">
        <v>679</v>
      </c>
      <c r="I28" s="60" t="s">
        <v>423</v>
      </c>
      <c r="J28" s="131">
        <v>-1364</v>
      </c>
      <c r="K28" s="131">
        <v>-2620</v>
      </c>
      <c r="L28" s="131">
        <v>-2248</v>
      </c>
      <c r="M28" s="131">
        <v>-3595</v>
      </c>
      <c r="N28" s="131">
        <v>-2573</v>
      </c>
      <c r="O28" s="131">
        <v>-3974</v>
      </c>
      <c r="P28" s="131">
        <v>-3367</v>
      </c>
      <c r="Q28" s="131">
        <v>-7537</v>
      </c>
      <c r="R28" s="131">
        <v>-3550</v>
      </c>
      <c r="S28" s="131">
        <v>-6414</v>
      </c>
      <c r="T28" s="131">
        <v>-5116</v>
      </c>
      <c r="U28" s="131">
        <v>-8534</v>
      </c>
      <c r="V28" s="131">
        <v>-4692</v>
      </c>
      <c r="W28" s="131"/>
      <c r="X28" s="131">
        <v>-2171</v>
      </c>
      <c r="Y28" s="131">
        <v>-4022</v>
      </c>
      <c r="Z28" s="131">
        <v>-6547</v>
      </c>
      <c r="AA28" s="131">
        <v>-9964</v>
      </c>
      <c r="AB28" s="131"/>
      <c r="AC28" s="131">
        <v>-6270</v>
      </c>
      <c r="AD28" s="131">
        <v>-9914</v>
      </c>
      <c r="AE28" s="131">
        <v>-15080</v>
      </c>
      <c r="AF28" s="131"/>
      <c r="AG28" s="131"/>
      <c r="AH28" s="131">
        <v>-9865</v>
      </c>
      <c r="AI28" s="131">
        <v>-17451</v>
      </c>
      <c r="AJ28" s="131">
        <v>-23614</v>
      </c>
    </row>
    <row r="29" spans="2:36" s="233" customFormat="1" x14ac:dyDescent="0.25">
      <c r="B29" s="233" t="s">
        <v>329</v>
      </c>
      <c r="E29" s="131">
        <v>-3392</v>
      </c>
      <c r="F29" s="131">
        <v>-4233</v>
      </c>
      <c r="I29" s="60" t="s">
        <v>424</v>
      </c>
      <c r="J29" s="131">
        <v>-940</v>
      </c>
      <c r="K29" s="131">
        <v>0</v>
      </c>
      <c r="L29" s="131">
        <v>0</v>
      </c>
      <c r="M29" s="131">
        <v>0</v>
      </c>
      <c r="N29" s="131">
        <v>0</v>
      </c>
      <c r="O29" s="131">
        <v>0</v>
      </c>
      <c r="P29" s="131">
        <v>0</v>
      </c>
      <c r="Q29" s="131">
        <v>0</v>
      </c>
      <c r="R29" s="131">
        <v>0</v>
      </c>
      <c r="S29" s="131">
        <v>0</v>
      </c>
      <c r="T29" s="131">
        <v>0</v>
      </c>
      <c r="U29" s="131">
        <v>0</v>
      </c>
      <c r="V29" s="131">
        <v>0</v>
      </c>
      <c r="W29" s="131"/>
      <c r="X29" s="131">
        <v>-940</v>
      </c>
      <c r="Y29" s="131">
        <v>0</v>
      </c>
      <c r="Z29" s="131">
        <v>0</v>
      </c>
      <c r="AA29" s="131">
        <v>0</v>
      </c>
      <c r="AB29" s="131"/>
      <c r="AC29" s="131">
        <v>0</v>
      </c>
      <c r="AD29" s="131">
        <v>0</v>
      </c>
      <c r="AE29" s="233">
        <v>0</v>
      </c>
      <c r="AF29" s="131"/>
      <c r="AG29" s="131"/>
      <c r="AH29" s="131">
        <v>0</v>
      </c>
      <c r="AI29" s="131">
        <v>0</v>
      </c>
      <c r="AJ29" s="131">
        <v>0</v>
      </c>
    </row>
    <row r="30" spans="2:36" x14ac:dyDescent="0.25">
      <c r="B30" s="60" t="s">
        <v>330</v>
      </c>
      <c r="E30" s="131">
        <v>359</v>
      </c>
      <c r="F30" s="131">
        <v>247</v>
      </c>
      <c r="I30" s="60" t="s">
        <v>425</v>
      </c>
      <c r="J30" s="131">
        <v>289</v>
      </c>
      <c r="K30" s="131">
        <v>262</v>
      </c>
      <c r="L30" s="131">
        <v>-480</v>
      </c>
      <c r="M30" s="131">
        <v>668</v>
      </c>
      <c r="N30" s="131">
        <v>124</v>
      </c>
      <c r="O30" s="131">
        <v>1006</v>
      </c>
      <c r="P30" s="131">
        <v>223</v>
      </c>
      <c r="Q30" s="131">
        <v>906</v>
      </c>
      <c r="R30" s="131">
        <v>55</v>
      </c>
      <c r="S30" s="131">
        <v>-564</v>
      </c>
      <c r="T30" s="131">
        <v>333</v>
      </c>
      <c r="U30" s="131">
        <v>614</v>
      </c>
      <c r="V30" s="131">
        <v>117</v>
      </c>
      <c r="W30" s="131"/>
      <c r="X30" s="131">
        <v>415</v>
      </c>
      <c r="Y30" s="131">
        <v>390</v>
      </c>
      <c r="Z30" s="131">
        <v>1130</v>
      </c>
      <c r="AA30" s="131">
        <v>-509</v>
      </c>
      <c r="AB30" s="131"/>
      <c r="AC30" s="131">
        <v>-90</v>
      </c>
      <c r="AD30" s="131">
        <v>1353</v>
      </c>
      <c r="AE30" s="131">
        <v>-176</v>
      </c>
      <c r="AF30" s="131"/>
      <c r="AG30" s="131"/>
      <c r="AH30" s="131">
        <v>578</v>
      </c>
      <c r="AI30" s="131">
        <v>2259</v>
      </c>
      <c r="AJ30" s="131">
        <v>438</v>
      </c>
    </row>
    <row r="31" spans="2:36" ht="15.75" thickBot="1" x14ac:dyDescent="0.3">
      <c r="B31" s="46" t="s">
        <v>331</v>
      </c>
      <c r="E31" s="112">
        <v>17904</v>
      </c>
      <c r="F31" s="112">
        <v>8299</v>
      </c>
      <c r="I31" s="46" t="s">
        <v>331</v>
      </c>
      <c r="J31" s="211">
        <v>6802</v>
      </c>
      <c r="K31" s="211">
        <v>7125</v>
      </c>
      <c r="L31" s="211">
        <v>2682</v>
      </c>
      <c r="M31" s="211">
        <v>-4631</v>
      </c>
      <c r="N31" s="211">
        <v>9584</v>
      </c>
      <c r="O31" s="211">
        <v>9780</v>
      </c>
      <c r="P31" s="211">
        <v>2392</v>
      </c>
      <c r="Q31" s="211">
        <f t="shared" ref="Q31:V31" si="3">SUM(Q24:Q30)</f>
        <v>-8091</v>
      </c>
      <c r="R31" s="211">
        <f t="shared" si="3"/>
        <v>9703</v>
      </c>
      <c r="S31" s="211">
        <f t="shared" si="3"/>
        <v>5980</v>
      </c>
      <c r="T31" s="211">
        <f t="shared" si="3"/>
        <v>764.91005918736482</v>
      </c>
      <c r="U31" s="211">
        <f t="shared" si="3"/>
        <v>-1579.0342213846379</v>
      </c>
      <c r="V31" s="211">
        <f t="shared" si="3"/>
        <v>15325.315288122434</v>
      </c>
      <c r="W31" s="112"/>
      <c r="X31" s="211">
        <v>14264</v>
      </c>
      <c r="Y31" s="211">
        <v>21040</v>
      </c>
      <c r="Z31" s="211">
        <v>19364</v>
      </c>
      <c r="AA31" s="211">
        <f>SUM(AA24:AA30)</f>
        <v>15683</v>
      </c>
      <c r="AB31" s="112"/>
      <c r="AC31" s="211">
        <v>19810</v>
      </c>
      <c r="AD31" s="211">
        <v>21756</v>
      </c>
      <c r="AE31" s="211">
        <f>SUM(AE24:AE30)</f>
        <v>16447.910059187365</v>
      </c>
      <c r="AF31" s="112"/>
      <c r="AG31" s="112"/>
      <c r="AH31" s="211">
        <v>15237</v>
      </c>
      <c r="AI31" s="211">
        <f>SUM(AI24:AI30)</f>
        <v>13665</v>
      </c>
      <c r="AJ31" s="211">
        <f>SUM(AJ24:AJ30)</f>
        <v>14868.875837802727</v>
      </c>
    </row>
    <row r="32" spans="2:36" ht="15.75" thickTop="1" x14ac:dyDescent="0.25"/>
  </sheetData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1CB3F-F305-434A-82EF-6AB9876D72A7}">
  <dimension ref="B2:L28"/>
  <sheetViews>
    <sheetView showGridLines="0" workbookViewId="0">
      <pane xSplit="2" ySplit="3" topLeftCell="C4" activePane="bottomRight" state="frozen"/>
      <selection activeCell="C15" sqref="C15"/>
      <selection pane="topRight" activeCell="C15" sqref="C15"/>
      <selection pane="bottomLeft" activeCell="C15" sqref="C15"/>
      <selection pane="bottomRight" activeCell="E31" sqref="E31"/>
    </sheetView>
  </sheetViews>
  <sheetFormatPr defaultColWidth="2.140625" defaultRowHeight="12.75" x14ac:dyDescent="0.2"/>
  <cols>
    <col min="1" max="1" width="12.42578125" style="137" customWidth="1"/>
    <col min="2" max="2" width="71.5703125" style="137" customWidth="1"/>
    <col min="3" max="10" width="12.42578125" style="137" customWidth="1"/>
    <col min="11" max="11" width="2.140625" style="137"/>
    <col min="12" max="12" width="9.7109375" style="137" bestFit="1" customWidth="1"/>
    <col min="13" max="16384" width="2.140625" style="137"/>
  </cols>
  <sheetData>
    <row r="2" spans="2:12" x14ac:dyDescent="0.2">
      <c r="B2" s="136" t="s">
        <v>335</v>
      </c>
      <c r="C2" s="247"/>
      <c r="D2" s="248"/>
      <c r="E2" s="248"/>
      <c r="F2" s="248"/>
      <c r="G2" s="248"/>
      <c r="H2" s="248"/>
      <c r="I2" s="248"/>
      <c r="J2" s="249"/>
    </row>
    <row r="3" spans="2:12" s="139" customFormat="1" ht="38.25" x14ac:dyDescent="0.2">
      <c r="B3" s="138" t="s">
        <v>336</v>
      </c>
      <c r="C3" s="171" t="s">
        <v>337</v>
      </c>
      <c r="D3" s="172" t="s">
        <v>338</v>
      </c>
      <c r="E3" s="172" t="s">
        <v>339</v>
      </c>
      <c r="F3" s="172" t="s">
        <v>340</v>
      </c>
      <c r="G3" s="172" t="s">
        <v>341</v>
      </c>
      <c r="H3" s="172" t="s">
        <v>342</v>
      </c>
      <c r="I3" s="172" t="s">
        <v>343</v>
      </c>
      <c r="J3" s="173" t="s">
        <v>344</v>
      </c>
    </row>
    <row r="4" spans="2:12" x14ac:dyDescent="0.2">
      <c r="B4" s="143" t="s">
        <v>345</v>
      </c>
      <c r="C4" s="141">
        <v>1</v>
      </c>
      <c r="D4" s="156"/>
      <c r="E4" s="175">
        <v>0</v>
      </c>
      <c r="F4" s="156"/>
      <c r="G4" s="158">
        <f>SUM(C4:F4)</f>
        <v>1</v>
      </c>
      <c r="H4" s="212">
        <f>G4/$G$10</f>
        <v>2.586385060578479E-9</v>
      </c>
      <c r="I4" s="158">
        <f>SUM(C4,D4,F4)</f>
        <v>1</v>
      </c>
      <c r="J4" s="159">
        <f>+I4/$I$10</f>
        <v>3.7275008282972781E-9</v>
      </c>
    </row>
    <row r="5" spans="2:12" x14ac:dyDescent="0.2">
      <c r="B5" s="143" t="s">
        <v>346</v>
      </c>
      <c r="C5" s="141">
        <v>76501166</v>
      </c>
      <c r="D5" s="156"/>
      <c r="E5" s="157">
        <v>118363766</v>
      </c>
      <c r="F5" s="157">
        <v>12345678</v>
      </c>
      <c r="G5" s="158">
        <f t="shared" ref="G5:G9" si="0">SUM(C5:F5)</f>
        <v>207210610</v>
      </c>
      <c r="H5" s="212">
        <f t="shared" ref="H5:H9" si="1">G5/$G$10</f>
        <v>0.53592642609735364</v>
      </c>
      <c r="I5" s="158">
        <f t="shared" ref="I5:I8" si="2">SUM(C5,D5,F5)</f>
        <v>88846844</v>
      </c>
      <c r="J5" s="159">
        <f t="shared" ref="J5:J9" si="3">+I5/$I$10</f>
        <v>0.33117668460159905</v>
      </c>
      <c r="L5" s="208"/>
    </row>
    <row r="6" spans="2:12" x14ac:dyDescent="0.2">
      <c r="B6" s="143" t="s">
        <v>347</v>
      </c>
      <c r="C6" s="141">
        <v>58170916</v>
      </c>
      <c r="D6" s="156"/>
      <c r="E6" s="156"/>
      <c r="F6" s="156"/>
      <c r="G6" s="158">
        <f t="shared" si="0"/>
        <v>58170916</v>
      </c>
      <c r="H6" s="212">
        <f t="shared" si="1"/>
        <v>0.15045238810256562</v>
      </c>
      <c r="I6" s="158">
        <f t="shared" si="2"/>
        <v>58170916</v>
      </c>
      <c r="J6" s="159">
        <f t="shared" si="3"/>
        <v>0.21683213757281136</v>
      </c>
      <c r="L6" s="208"/>
    </row>
    <row r="7" spans="2:12" x14ac:dyDescent="0.2">
      <c r="B7" s="143" t="s">
        <v>348</v>
      </c>
      <c r="C7" s="141">
        <v>28524255</v>
      </c>
      <c r="D7" s="156"/>
      <c r="E7" s="156"/>
      <c r="F7" s="156"/>
      <c r="G7" s="158">
        <f t="shared" si="0"/>
        <v>28524255</v>
      </c>
      <c r="H7" s="212">
        <f t="shared" si="1"/>
        <v>7.3774706996130979E-2</v>
      </c>
      <c r="I7" s="158">
        <f t="shared" si="2"/>
        <v>28524255</v>
      </c>
      <c r="J7" s="159">
        <f t="shared" si="3"/>
        <v>0.10632418413906276</v>
      </c>
      <c r="L7" s="208"/>
    </row>
    <row r="8" spans="2:12" x14ac:dyDescent="0.2">
      <c r="B8" s="143" t="s">
        <v>373</v>
      </c>
      <c r="C8" s="140"/>
      <c r="D8" s="157">
        <v>11437723</v>
      </c>
      <c r="E8" s="156"/>
      <c r="F8" s="156"/>
      <c r="G8" s="158">
        <f t="shared" si="0"/>
        <v>11437723</v>
      </c>
      <c r="H8" s="212">
        <f t="shared" si="1"/>
        <v>2.9582355894234861E-2</v>
      </c>
      <c r="I8" s="158">
        <f t="shared" si="2"/>
        <v>11437723</v>
      </c>
      <c r="J8" s="159">
        <f t="shared" si="3"/>
        <v>4.2634121956334828E-2</v>
      </c>
      <c r="L8" s="208"/>
    </row>
    <row r="9" spans="2:12" ht="15" x14ac:dyDescent="0.2">
      <c r="B9" s="143" t="s">
        <v>427</v>
      </c>
      <c r="C9" s="141">
        <f>81209038+87488</f>
        <v>81296526</v>
      </c>
      <c r="D9" s="156"/>
      <c r="E9" s="156"/>
      <c r="F9" s="156"/>
      <c r="G9" s="158">
        <f t="shared" si="0"/>
        <v>81296526</v>
      </c>
      <c r="H9" s="212">
        <f t="shared" si="1"/>
        <v>0.21026412032332989</v>
      </c>
      <c r="I9" s="158">
        <f>SUM(C9,D9,F9)</f>
        <v>81296526</v>
      </c>
      <c r="J9" s="159">
        <f t="shared" si="3"/>
        <v>0.30303286800269119</v>
      </c>
      <c r="L9" s="208"/>
    </row>
    <row r="10" spans="2:12" x14ac:dyDescent="0.2">
      <c r="B10" s="142" t="s">
        <v>349</v>
      </c>
      <c r="C10" s="160">
        <f t="shared" ref="C10:J10" si="4">SUM(C4:C9)</f>
        <v>244492864</v>
      </c>
      <c r="D10" s="161">
        <f t="shared" si="4"/>
        <v>11437723</v>
      </c>
      <c r="E10" s="161">
        <f t="shared" si="4"/>
        <v>118363766</v>
      </c>
      <c r="F10" s="161">
        <f t="shared" si="4"/>
        <v>12345678</v>
      </c>
      <c r="G10" s="161">
        <f>SUM(G4:G9)</f>
        <v>386640031</v>
      </c>
      <c r="H10" s="163">
        <f t="shared" si="4"/>
        <v>1</v>
      </c>
      <c r="I10" s="161">
        <f t="shared" si="4"/>
        <v>268276265</v>
      </c>
      <c r="J10" s="162">
        <f t="shared" si="4"/>
        <v>1</v>
      </c>
    </row>
    <row r="11" spans="2:12" x14ac:dyDescent="0.2">
      <c r="B11" s="176"/>
      <c r="C11" s="177"/>
      <c r="D11" s="225"/>
      <c r="E11" s="177"/>
      <c r="F11" s="225"/>
      <c r="G11" s="177"/>
      <c r="H11" s="178"/>
      <c r="I11" s="177"/>
      <c r="J11" s="178"/>
    </row>
    <row r="12" spans="2:12" x14ac:dyDescent="0.2">
      <c r="B12" s="143" t="s">
        <v>428</v>
      </c>
      <c r="C12" s="158">
        <v>1055228</v>
      </c>
      <c r="D12" s="177"/>
      <c r="E12" s="177"/>
      <c r="F12" s="177"/>
      <c r="G12" s="177"/>
      <c r="H12" s="178"/>
      <c r="I12" s="177"/>
      <c r="J12" s="178"/>
    </row>
    <row r="13" spans="2:12" x14ac:dyDescent="0.2">
      <c r="B13" s="143" t="s">
        <v>429</v>
      </c>
      <c r="C13" s="158">
        <v>644772</v>
      </c>
      <c r="D13" s="177"/>
      <c r="E13" s="177"/>
      <c r="F13" s="177"/>
      <c r="G13" s="177"/>
      <c r="H13" s="178"/>
      <c r="I13" s="177"/>
      <c r="J13" s="178"/>
    </row>
    <row r="14" spans="2:12" x14ac:dyDescent="0.2">
      <c r="B14" s="137" t="s">
        <v>430</v>
      </c>
      <c r="C14" s="158">
        <v>15313893</v>
      </c>
      <c r="D14" s="177"/>
      <c r="E14" s="158"/>
      <c r="F14" s="177" t="s">
        <v>529</v>
      </c>
      <c r="G14" s="177" t="s">
        <v>556</v>
      </c>
      <c r="H14" s="178" t="s">
        <v>557</v>
      </c>
    </row>
    <row r="15" spans="2:12" ht="15" x14ac:dyDescent="0.25">
      <c r="B15" s="176"/>
      <c r="C15" s="225"/>
      <c r="D15" s="177"/>
      <c r="E15" s="228"/>
      <c r="F15" s="177">
        <v>38698288</v>
      </c>
      <c r="G15" s="177">
        <v>508390</v>
      </c>
      <c r="H15" s="226">
        <v>316017</v>
      </c>
    </row>
    <row r="16" spans="2:12" x14ac:dyDescent="0.2">
      <c r="B16" s="176" t="s">
        <v>97</v>
      </c>
      <c r="C16" s="177">
        <f>SUM(G10,C14)</f>
        <v>401953924</v>
      </c>
      <c r="D16" s="177"/>
      <c r="E16" s="229"/>
      <c r="F16" s="177"/>
      <c r="G16" s="177"/>
      <c r="H16" s="250"/>
      <c r="I16" s="177"/>
      <c r="J16" s="178"/>
    </row>
    <row r="17" spans="2:10" x14ac:dyDescent="0.2">
      <c r="B17" s="251" t="s">
        <v>594</v>
      </c>
      <c r="C17" s="225"/>
      <c r="D17" s="164"/>
      <c r="E17" s="157"/>
      <c r="F17" s="209"/>
    </row>
    <row r="18" spans="2:10" x14ac:dyDescent="0.2">
      <c r="B18" s="137" t="s">
        <v>350</v>
      </c>
      <c r="C18" s="179"/>
      <c r="D18" s="164"/>
      <c r="E18" s="164"/>
      <c r="F18" s="164"/>
    </row>
    <row r="19" spans="2:10" x14ac:dyDescent="0.2">
      <c r="B19" s="137" t="s">
        <v>595</v>
      </c>
      <c r="C19" s="144"/>
      <c r="D19" s="165"/>
      <c r="G19" s="145"/>
    </row>
    <row r="20" spans="2:10" x14ac:dyDescent="0.2">
      <c r="B20" s="137" t="s">
        <v>596</v>
      </c>
    </row>
    <row r="21" spans="2:10" x14ac:dyDescent="0.2">
      <c r="B21" s="180" t="s">
        <v>374</v>
      </c>
      <c r="C21" s="145"/>
      <c r="E21" s="174"/>
      <c r="J21" s="145"/>
    </row>
    <row r="22" spans="2:10" x14ac:dyDescent="0.2">
      <c r="B22" s="137" t="s">
        <v>597</v>
      </c>
      <c r="G22" s="174"/>
    </row>
    <row r="25" spans="2:10" x14ac:dyDescent="0.2">
      <c r="B25" s="181"/>
      <c r="C25" s="145"/>
    </row>
    <row r="26" spans="2:10" x14ac:dyDescent="0.2">
      <c r="B26" s="182"/>
      <c r="C26" s="145"/>
    </row>
    <row r="27" spans="2:10" x14ac:dyDescent="0.2">
      <c r="C27" s="145"/>
    </row>
    <row r="28" spans="2:10" x14ac:dyDescent="0.2">
      <c r="C28" s="145"/>
    </row>
  </sheetData>
  <mergeCells count="1">
    <mergeCell ref="C2:J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1D157-96CE-4492-8B73-B9F5C07954B0}">
  <dimension ref="A3:F27"/>
  <sheetViews>
    <sheetView showGridLines="0" topLeftCell="A3" workbookViewId="0">
      <selection activeCell="F23" sqref="F23"/>
    </sheetView>
  </sheetViews>
  <sheetFormatPr defaultRowHeight="15" x14ac:dyDescent="0.25"/>
  <cols>
    <col min="2" max="2" width="44" bestFit="1" customWidth="1"/>
    <col min="3" max="3" width="17.85546875" customWidth="1"/>
    <col min="5" max="5" width="14.28515625" bestFit="1" customWidth="1"/>
    <col min="6" max="6" width="10.5703125" bestFit="1" customWidth="1"/>
  </cols>
  <sheetData>
    <row r="3" spans="1:3" x14ac:dyDescent="0.25">
      <c r="A3" t="s">
        <v>375</v>
      </c>
      <c r="B3" s="166" t="s">
        <v>376</v>
      </c>
    </row>
    <row r="5" spans="1:3" x14ac:dyDescent="0.25">
      <c r="B5" s="166" t="s">
        <v>96</v>
      </c>
      <c r="C5" s="167" t="s">
        <v>232</v>
      </c>
    </row>
    <row r="6" spans="1:3" x14ac:dyDescent="0.25">
      <c r="B6" t="s">
        <v>233</v>
      </c>
      <c r="C6" s="183">
        <v>244492864</v>
      </c>
    </row>
    <row r="7" spans="1:3" x14ac:dyDescent="0.25">
      <c r="B7" t="s">
        <v>234</v>
      </c>
      <c r="C7" s="30">
        <v>1</v>
      </c>
    </row>
    <row r="8" spans="1:3" x14ac:dyDescent="0.25">
      <c r="B8" t="s">
        <v>235</v>
      </c>
      <c r="C8" s="30">
        <v>118363766</v>
      </c>
    </row>
    <row r="9" spans="1:3" x14ac:dyDescent="0.25">
      <c r="B9" t="s">
        <v>236</v>
      </c>
      <c r="C9" s="30">
        <v>1</v>
      </c>
    </row>
    <row r="10" spans="1:3" x14ac:dyDescent="0.25">
      <c r="B10" s="31" t="s">
        <v>237</v>
      </c>
      <c r="C10" s="32">
        <f>+SUM(C6:C9)</f>
        <v>362856632</v>
      </c>
    </row>
    <row r="11" spans="1:3" x14ac:dyDescent="0.25">
      <c r="B11" s="168"/>
      <c r="C11" s="169"/>
    </row>
    <row r="12" spans="1:3" x14ac:dyDescent="0.25">
      <c r="B12" s="168"/>
      <c r="C12" s="169"/>
    </row>
    <row r="13" spans="1:3" x14ac:dyDescent="0.25">
      <c r="B13" s="168"/>
      <c r="C13" s="169"/>
    </row>
    <row r="14" spans="1:3" x14ac:dyDescent="0.25">
      <c r="A14" t="s">
        <v>375</v>
      </c>
      <c r="B14" s="166" t="s">
        <v>377</v>
      </c>
    </row>
    <row r="16" spans="1:3" x14ac:dyDescent="0.25">
      <c r="B16" s="166" t="s">
        <v>96</v>
      </c>
      <c r="C16" s="167" t="s">
        <v>232</v>
      </c>
    </row>
    <row r="17" spans="2:6" x14ac:dyDescent="0.25">
      <c r="B17" t="s">
        <v>238</v>
      </c>
      <c r="C17" s="183">
        <f>C6</f>
        <v>244492864</v>
      </c>
    </row>
    <row r="18" spans="2:6" x14ac:dyDescent="0.25">
      <c r="B18" t="s">
        <v>239</v>
      </c>
      <c r="C18" s="194">
        <v>12345678</v>
      </c>
    </row>
    <row r="19" spans="2:6" x14ac:dyDescent="0.25">
      <c r="B19" t="s">
        <v>240</v>
      </c>
      <c r="C19" s="194">
        <f>C8</f>
        <v>118363766</v>
      </c>
    </row>
    <row r="20" spans="2:6" x14ac:dyDescent="0.25">
      <c r="B20" t="s">
        <v>378</v>
      </c>
      <c r="C20" s="194">
        <v>11437723</v>
      </c>
    </row>
    <row r="21" spans="2:6" x14ac:dyDescent="0.25">
      <c r="B21" t="s">
        <v>431</v>
      </c>
      <c r="C21" s="183">
        <v>15313893</v>
      </c>
    </row>
    <row r="22" spans="2:6" x14ac:dyDescent="0.25">
      <c r="B22" s="31" t="s">
        <v>241</v>
      </c>
      <c r="C22" s="32">
        <f>+SUM(C17:C21)</f>
        <v>401953924</v>
      </c>
    </row>
    <row r="23" spans="2:6" x14ac:dyDescent="0.25">
      <c r="E23" s="30"/>
      <c r="F23" s="170"/>
    </row>
    <row r="24" spans="2:6" x14ac:dyDescent="0.25">
      <c r="C24" s="170"/>
    </row>
    <row r="26" spans="2:6" x14ac:dyDescent="0.25">
      <c r="B26" s="33"/>
    </row>
    <row r="27" spans="2:6" x14ac:dyDescent="0.25">
      <c r="B27" s="33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D734F-7F63-466E-A068-FB615874869D}">
  <sheetPr filterMode="1"/>
  <dimension ref="B1:L244"/>
  <sheetViews>
    <sheetView showGridLines="0" tabSelected="1" zoomScale="98" zoomScaleNormal="70" workbookViewId="0">
      <pane xSplit="1" ySplit="2" topLeftCell="B177" activePane="bottomRight" state="frozen"/>
      <selection activeCell="F14" sqref="F14"/>
      <selection pane="topRight" activeCell="F14" sqref="F14"/>
      <selection pane="bottomLeft" activeCell="F14" sqref="F14"/>
      <selection pane="bottomRight" activeCell="P196" sqref="P196"/>
    </sheetView>
  </sheetViews>
  <sheetFormatPr defaultRowHeight="15" x14ac:dyDescent="0.25"/>
  <cols>
    <col min="2" max="2" width="19.140625" style="137" customWidth="1"/>
    <col min="3" max="3" width="27" style="137" bestFit="1" customWidth="1"/>
    <col min="4" max="4" width="9.140625" style="137"/>
    <col min="5" max="5" width="16.85546875" style="137" customWidth="1"/>
    <col min="6" max="6" width="13" style="137" customWidth="1"/>
    <col min="7" max="7" width="15.140625" style="137" customWidth="1"/>
    <col min="8" max="8" width="25.7109375" style="137" bestFit="1" customWidth="1"/>
    <col min="9" max="9" width="33.42578125" style="137" customWidth="1"/>
    <col min="10" max="10" width="21.28515625" style="137" bestFit="1" customWidth="1"/>
    <col min="11" max="11" width="15.85546875" style="137" customWidth="1"/>
  </cols>
  <sheetData>
    <row r="1" spans="2:12" ht="15.75" thickBot="1" x14ac:dyDescent="0.3">
      <c r="B1" s="184"/>
      <c r="C1" s="184"/>
      <c r="E1" s="185"/>
      <c r="F1" s="186"/>
      <c r="G1" s="187"/>
      <c r="H1" s="185"/>
      <c r="I1" s="187"/>
      <c r="J1" s="188"/>
    </row>
    <row r="2" spans="2:12" ht="24" x14ac:dyDescent="0.25">
      <c r="B2" s="147" t="s">
        <v>101</v>
      </c>
      <c r="C2" s="146" t="s">
        <v>98</v>
      </c>
      <c r="D2" s="147" t="s">
        <v>99</v>
      </c>
      <c r="E2" s="147" t="s">
        <v>100</v>
      </c>
      <c r="F2" s="147" t="s">
        <v>102</v>
      </c>
      <c r="G2" s="34" t="s">
        <v>103</v>
      </c>
      <c r="H2" s="34" t="s">
        <v>449</v>
      </c>
      <c r="I2" s="34" t="s">
        <v>243</v>
      </c>
      <c r="J2" s="34" t="s">
        <v>244</v>
      </c>
      <c r="K2" s="34" t="s">
        <v>245</v>
      </c>
      <c r="L2" s="34" t="s">
        <v>484</v>
      </c>
    </row>
    <row r="3" spans="2:12" x14ac:dyDescent="0.25">
      <c r="B3" s="148" t="s">
        <v>106</v>
      </c>
      <c r="C3" s="190" t="s">
        <v>248</v>
      </c>
      <c r="D3" s="148" t="s">
        <v>104</v>
      </c>
      <c r="E3" s="148" t="s">
        <v>105</v>
      </c>
      <c r="F3" s="214">
        <v>25.2</v>
      </c>
      <c r="G3" s="148" t="s">
        <v>107</v>
      </c>
      <c r="H3" s="191">
        <v>40969</v>
      </c>
      <c r="I3" s="192" t="s">
        <v>464</v>
      </c>
      <c r="J3" s="148" t="s">
        <v>460</v>
      </c>
      <c r="K3" s="148" t="s">
        <v>465</v>
      </c>
      <c r="L3" s="148"/>
    </row>
    <row r="4" spans="2:12" ht="15" customHeight="1" x14ac:dyDescent="0.25">
      <c r="B4" s="148" t="s">
        <v>109</v>
      </c>
      <c r="C4" s="190" t="s">
        <v>248</v>
      </c>
      <c r="D4" s="148" t="s">
        <v>104</v>
      </c>
      <c r="E4" s="148" t="s">
        <v>105</v>
      </c>
      <c r="F4" s="214">
        <v>25.5</v>
      </c>
      <c r="G4" s="148" t="s">
        <v>108</v>
      </c>
      <c r="H4" s="191">
        <v>41220.294117647056</v>
      </c>
      <c r="I4" s="148">
        <v>5.73</v>
      </c>
      <c r="J4" s="148" t="s">
        <v>110</v>
      </c>
      <c r="K4" s="148">
        <v>13</v>
      </c>
      <c r="L4" s="148"/>
    </row>
    <row r="5" spans="2:12" x14ac:dyDescent="0.25">
      <c r="B5" s="148" t="s">
        <v>109</v>
      </c>
      <c r="C5" s="190" t="s">
        <v>248</v>
      </c>
      <c r="D5" s="148" t="s">
        <v>104</v>
      </c>
      <c r="E5" s="148" t="s">
        <v>105</v>
      </c>
      <c r="F5" s="214">
        <v>19.5</v>
      </c>
      <c r="G5" s="148" t="s">
        <v>108</v>
      </c>
      <c r="H5" s="191">
        <v>41663.153846153844</v>
      </c>
      <c r="I5" s="148">
        <v>5.73</v>
      </c>
      <c r="J5" s="148" t="s">
        <v>110</v>
      </c>
      <c r="K5" s="148">
        <v>13</v>
      </c>
      <c r="L5" s="148"/>
    </row>
    <row r="6" spans="2:12" x14ac:dyDescent="0.25">
      <c r="B6" s="148" t="s">
        <v>112</v>
      </c>
      <c r="C6" s="193" t="s">
        <v>248</v>
      </c>
      <c r="D6" s="148" t="s">
        <v>104</v>
      </c>
      <c r="E6" s="148" t="s">
        <v>105</v>
      </c>
      <c r="F6" s="214">
        <v>14.4</v>
      </c>
      <c r="G6" s="148" t="s">
        <v>111</v>
      </c>
      <c r="H6" s="191">
        <v>41364</v>
      </c>
      <c r="I6" s="148" t="s">
        <v>492</v>
      </c>
      <c r="J6" s="148" t="s">
        <v>113</v>
      </c>
      <c r="K6" s="148">
        <v>25</v>
      </c>
      <c r="L6" s="148"/>
    </row>
    <row r="7" spans="2:12" x14ac:dyDescent="0.25">
      <c r="B7" s="148" t="s">
        <v>115</v>
      </c>
      <c r="C7" s="148" t="s">
        <v>367</v>
      </c>
      <c r="D7" s="148" t="s">
        <v>104</v>
      </c>
      <c r="E7" s="148" t="s">
        <v>105</v>
      </c>
      <c r="F7" s="214">
        <v>34.4</v>
      </c>
      <c r="G7" s="148" t="s">
        <v>116</v>
      </c>
      <c r="H7" s="191">
        <v>41316.162790697665</v>
      </c>
      <c r="I7" s="148" t="s">
        <v>493</v>
      </c>
      <c r="J7" s="148" t="s">
        <v>117</v>
      </c>
      <c r="K7" s="148">
        <v>10</v>
      </c>
      <c r="L7" s="148"/>
    </row>
    <row r="8" spans="2:12" x14ac:dyDescent="0.25">
      <c r="B8" s="148" t="s">
        <v>115</v>
      </c>
      <c r="C8" s="148" t="s">
        <v>367</v>
      </c>
      <c r="D8" s="148" t="s">
        <v>104</v>
      </c>
      <c r="E8" s="148" t="s">
        <v>105</v>
      </c>
      <c r="F8" s="214">
        <v>16</v>
      </c>
      <c r="G8" s="148" t="s">
        <v>116</v>
      </c>
      <c r="H8" s="191">
        <v>41382.550000000003</v>
      </c>
      <c r="I8" s="148" t="s">
        <v>493</v>
      </c>
      <c r="J8" s="148" t="s">
        <v>117</v>
      </c>
      <c r="K8" s="148">
        <v>10</v>
      </c>
      <c r="L8" s="148"/>
    </row>
    <row r="9" spans="2:12" x14ac:dyDescent="0.25">
      <c r="B9" s="148" t="s">
        <v>118</v>
      </c>
      <c r="C9" s="148" t="s">
        <v>367</v>
      </c>
      <c r="D9" s="148" t="s">
        <v>104</v>
      </c>
      <c r="E9" s="148" t="s">
        <v>105</v>
      </c>
      <c r="F9" s="214">
        <v>4.8</v>
      </c>
      <c r="G9" s="148" t="s">
        <v>116</v>
      </c>
      <c r="H9" s="191">
        <v>42731</v>
      </c>
      <c r="I9" s="148" t="s">
        <v>494</v>
      </c>
      <c r="J9" s="148" t="s">
        <v>117</v>
      </c>
      <c r="K9" s="148">
        <v>10</v>
      </c>
      <c r="L9" s="148"/>
    </row>
    <row r="10" spans="2:12" x14ac:dyDescent="0.25">
      <c r="B10" s="148" t="s">
        <v>118</v>
      </c>
      <c r="C10" s="148" t="s">
        <v>367</v>
      </c>
      <c r="D10" s="148" t="s">
        <v>104</v>
      </c>
      <c r="E10" s="148" t="s">
        <v>105</v>
      </c>
      <c r="F10" s="214">
        <v>7.2</v>
      </c>
      <c r="G10" s="148" t="s">
        <v>116</v>
      </c>
      <c r="H10" s="191">
        <v>42887</v>
      </c>
      <c r="I10" s="148" t="s">
        <v>494</v>
      </c>
      <c r="J10" s="148" t="s">
        <v>117</v>
      </c>
      <c r="K10" s="148">
        <v>10</v>
      </c>
      <c r="L10" s="148"/>
    </row>
    <row r="11" spans="2:12" x14ac:dyDescent="0.25">
      <c r="B11" s="148" t="s">
        <v>119</v>
      </c>
      <c r="C11" s="148" t="s">
        <v>367</v>
      </c>
      <c r="D11" s="148" t="s">
        <v>104</v>
      </c>
      <c r="E11" s="148" t="s">
        <v>105</v>
      </c>
      <c r="F11" s="214">
        <v>40</v>
      </c>
      <c r="G11" s="148" t="s">
        <v>116</v>
      </c>
      <c r="H11" s="191">
        <v>42587.4</v>
      </c>
      <c r="I11" s="148" t="s">
        <v>495</v>
      </c>
      <c r="J11" s="148" t="s">
        <v>117</v>
      </c>
      <c r="K11" s="148">
        <v>10</v>
      </c>
      <c r="L11" s="148"/>
    </row>
    <row r="12" spans="2:12" x14ac:dyDescent="0.25">
      <c r="B12" s="148" t="s">
        <v>120</v>
      </c>
      <c r="C12" s="190" t="s">
        <v>248</v>
      </c>
      <c r="D12" s="148" t="s">
        <v>104</v>
      </c>
      <c r="E12" s="148" t="s">
        <v>105</v>
      </c>
      <c r="F12" s="214">
        <v>28</v>
      </c>
      <c r="G12" s="148" t="s">
        <v>108</v>
      </c>
      <c r="H12" s="191">
        <v>41413.428571428572</v>
      </c>
      <c r="I12" s="148">
        <v>5.81</v>
      </c>
      <c r="J12" s="148" t="s">
        <v>110</v>
      </c>
      <c r="K12" s="148">
        <v>13</v>
      </c>
      <c r="L12" s="148"/>
    </row>
    <row r="13" spans="2:12" x14ac:dyDescent="0.25">
      <c r="B13" s="148" t="s">
        <v>121</v>
      </c>
      <c r="C13" s="148" t="s">
        <v>367</v>
      </c>
      <c r="D13" s="148" t="s">
        <v>104</v>
      </c>
      <c r="E13" s="148" t="s">
        <v>105</v>
      </c>
      <c r="F13" s="214">
        <v>18</v>
      </c>
      <c r="G13" s="148" t="s">
        <v>116</v>
      </c>
      <c r="H13" s="191">
        <v>41426</v>
      </c>
      <c r="I13" s="148" t="s">
        <v>496</v>
      </c>
      <c r="J13" s="148" t="s">
        <v>117</v>
      </c>
      <c r="K13" s="148">
        <v>10</v>
      </c>
      <c r="L13" s="148"/>
    </row>
    <row r="14" spans="2:12" x14ac:dyDescent="0.25">
      <c r="B14" s="148" t="s">
        <v>122</v>
      </c>
      <c r="C14" s="190" t="s">
        <v>248</v>
      </c>
      <c r="D14" s="148" t="s">
        <v>104</v>
      </c>
      <c r="E14" s="148" t="s">
        <v>105</v>
      </c>
      <c r="F14" s="214">
        <v>34.5</v>
      </c>
      <c r="G14" s="148" t="s">
        <v>108</v>
      </c>
      <c r="H14" s="191">
        <v>41227.855072463768</v>
      </c>
      <c r="I14" s="148">
        <v>5.75</v>
      </c>
      <c r="J14" s="148" t="s">
        <v>110</v>
      </c>
      <c r="K14" s="148">
        <v>13</v>
      </c>
      <c r="L14" s="148"/>
    </row>
    <row r="15" spans="2:12" x14ac:dyDescent="0.25">
      <c r="B15" s="148" t="s">
        <v>122</v>
      </c>
      <c r="C15" s="190" t="s">
        <v>248</v>
      </c>
      <c r="D15" s="148" t="s">
        <v>104</v>
      </c>
      <c r="E15" s="148" t="s">
        <v>105</v>
      </c>
      <c r="F15" s="214">
        <v>50.15</v>
      </c>
      <c r="G15" s="148" t="s">
        <v>108</v>
      </c>
      <c r="H15" s="191">
        <v>41426</v>
      </c>
      <c r="I15" s="148">
        <v>5.75</v>
      </c>
      <c r="J15" s="148" t="s">
        <v>110</v>
      </c>
      <c r="K15" s="148">
        <v>13</v>
      </c>
      <c r="L15" s="148"/>
    </row>
    <row r="16" spans="2:12" x14ac:dyDescent="0.25">
      <c r="B16" s="148" t="s">
        <v>123</v>
      </c>
      <c r="C16" s="190" t="s">
        <v>248</v>
      </c>
      <c r="D16" s="148" t="s">
        <v>104</v>
      </c>
      <c r="E16" s="148" t="s">
        <v>105</v>
      </c>
      <c r="F16" s="214">
        <v>49.5</v>
      </c>
      <c r="G16" s="148" t="s">
        <v>108</v>
      </c>
      <c r="H16" s="191">
        <v>41443.818181818184</v>
      </c>
      <c r="I16" s="148">
        <v>5.81</v>
      </c>
      <c r="J16" s="148" t="s">
        <v>110</v>
      </c>
      <c r="K16" s="148">
        <v>13</v>
      </c>
      <c r="L16" s="148"/>
    </row>
    <row r="17" spans="2:12" x14ac:dyDescent="0.25">
      <c r="B17" s="148" t="s">
        <v>124</v>
      </c>
      <c r="C17" s="190" t="s">
        <v>248</v>
      </c>
      <c r="D17" s="148" t="s">
        <v>104</v>
      </c>
      <c r="E17" s="148" t="s">
        <v>105</v>
      </c>
      <c r="F17" s="214">
        <v>119.7</v>
      </c>
      <c r="G17" s="148" t="s">
        <v>246</v>
      </c>
      <c r="H17" s="191">
        <v>42689.771929824557</v>
      </c>
      <c r="I17" s="148" t="s">
        <v>497</v>
      </c>
      <c r="J17" s="148" t="s">
        <v>125</v>
      </c>
      <c r="K17" s="148">
        <v>25</v>
      </c>
      <c r="L17" s="148"/>
    </row>
    <row r="18" spans="2:12" x14ac:dyDescent="0.25">
      <c r="B18" s="148" t="s">
        <v>126</v>
      </c>
      <c r="C18" s="190" t="s">
        <v>248</v>
      </c>
      <c r="D18" s="148" t="s">
        <v>104</v>
      </c>
      <c r="E18" s="148" t="s">
        <v>105</v>
      </c>
      <c r="F18" s="214">
        <v>50.4</v>
      </c>
      <c r="G18" s="148" t="s">
        <v>108</v>
      </c>
      <c r="H18" s="191">
        <v>41524.375</v>
      </c>
      <c r="I18" s="148">
        <v>5.81</v>
      </c>
      <c r="J18" s="148" t="s">
        <v>110</v>
      </c>
      <c r="K18" s="148">
        <v>13</v>
      </c>
      <c r="L18" s="148"/>
    </row>
    <row r="19" spans="2:12" x14ac:dyDescent="0.25">
      <c r="B19" s="148" t="s">
        <v>127</v>
      </c>
      <c r="C19" s="190" t="s">
        <v>248</v>
      </c>
      <c r="D19" s="148" t="s">
        <v>104</v>
      </c>
      <c r="E19" s="148" t="s">
        <v>105</v>
      </c>
      <c r="F19" s="214">
        <v>30</v>
      </c>
      <c r="G19" s="148" t="s">
        <v>108</v>
      </c>
      <c r="H19" s="191">
        <v>41690.1</v>
      </c>
      <c r="I19" s="148">
        <v>5.81</v>
      </c>
      <c r="J19" s="148" t="s">
        <v>110</v>
      </c>
      <c r="K19" s="148">
        <v>13</v>
      </c>
      <c r="L19" s="148"/>
    </row>
    <row r="20" spans="2:12" x14ac:dyDescent="0.25">
      <c r="B20" s="148" t="s">
        <v>128</v>
      </c>
      <c r="C20" s="190" t="s">
        <v>248</v>
      </c>
      <c r="D20" s="148" t="s">
        <v>104</v>
      </c>
      <c r="E20" s="148" t="s">
        <v>105</v>
      </c>
      <c r="F20" s="214">
        <v>23.1</v>
      </c>
      <c r="G20" s="148" t="s">
        <v>108</v>
      </c>
      <c r="H20" s="191">
        <v>41699</v>
      </c>
      <c r="I20" s="148">
        <v>5.81</v>
      </c>
      <c r="J20" s="148" t="s">
        <v>110</v>
      </c>
      <c r="K20" s="148">
        <v>13</v>
      </c>
      <c r="L20" s="148"/>
    </row>
    <row r="21" spans="2:12" x14ac:dyDescent="0.25">
      <c r="B21" s="148" t="s">
        <v>129</v>
      </c>
      <c r="C21" s="190" t="s">
        <v>248</v>
      </c>
      <c r="D21" s="148" t="s">
        <v>104</v>
      </c>
      <c r="E21" s="148" t="s">
        <v>105</v>
      </c>
      <c r="F21" s="214">
        <v>49.5</v>
      </c>
      <c r="G21" s="148" t="s">
        <v>108</v>
      </c>
      <c r="H21" s="191">
        <v>41944</v>
      </c>
      <c r="I21" s="148">
        <v>5.79</v>
      </c>
      <c r="J21" s="148" t="s">
        <v>110</v>
      </c>
      <c r="K21" s="148">
        <v>13</v>
      </c>
      <c r="L21" s="148"/>
    </row>
    <row r="22" spans="2:12" x14ac:dyDescent="0.25">
      <c r="B22" s="148" t="s">
        <v>130</v>
      </c>
      <c r="C22" s="190" t="s">
        <v>248</v>
      </c>
      <c r="D22" s="148" t="s">
        <v>104</v>
      </c>
      <c r="E22" s="148" t="s">
        <v>105</v>
      </c>
      <c r="F22" s="214">
        <v>30</v>
      </c>
      <c r="G22" s="148" t="s">
        <v>111</v>
      </c>
      <c r="H22" s="191">
        <v>41920.800000000003</v>
      </c>
      <c r="I22" s="148" t="s">
        <v>498</v>
      </c>
      <c r="J22" s="148" t="s">
        <v>131</v>
      </c>
      <c r="K22" s="148">
        <v>25</v>
      </c>
      <c r="L22" s="148"/>
    </row>
    <row r="23" spans="2:12" x14ac:dyDescent="0.25">
      <c r="B23" s="148" t="s">
        <v>132</v>
      </c>
      <c r="C23" s="190" t="s">
        <v>248</v>
      </c>
      <c r="D23" s="148" t="s">
        <v>104</v>
      </c>
      <c r="E23" s="148" t="s">
        <v>105</v>
      </c>
      <c r="F23" s="214">
        <v>40</v>
      </c>
      <c r="G23" s="148" t="s">
        <v>247</v>
      </c>
      <c r="H23" s="191">
        <v>42424.15</v>
      </c>
      <c r="I23" s="148">
        <v>5.92</v>
      </c>
      <c r="J23" s="148" t="s">
        <v>133</v>
      </c>
      <c r="K23" s="148">
        <v>25</v>
      </c>
      <c r="L23" s="148"/>
    </row>
    <row r="24" spans="2:12" x14ac:dyDescent="0.25">
      <c r="B24" s="148" t="s">
        <v>134</v>
      </c>
      <c r="C24" s="190" t="s">
        <v>248</v>
      </c>
      <c r="D24" s="148" t="s">
        <v>104</v>
      </c>
      <c r="E24" s="148" t="s">
        <v>105</v>
      </c>
      <c r="F24" s="214">
        <v>46.5</v>
      </c>
      <c r="G24" s="148" t="s">
        <v>111</v>
      </c>
      <c r="H24" s="191">
        <v>42094</v>
      </c>
      <c r="I24" s="148" t="s">
        <v>499</v>
      </c>
      <c r="J24" s="148" t="s">
        <v>135</v>
      </c>
      <c r="K24" s="148">
        <v>25</v>
      </c>
      <c r="L24" s="148"/>
    </row>
    <row r="25" spans="2:12" x14ac:dyDescent="0.25">
      <c r="B25" s="148" t="s">
        <v>134</v>
      </c>
      <c r="C25" s="190" t="s">
        <v>248</v>
      </c>
      <c r="D25" s="148" t="s">
        <v>104</v>
      </c>
      <c r="E25" s="148" t="s">
        <v>105</v>
      </c>
      <c r="F25" s="214">
        <v>4.5</v>
      </c>
      <c r="G25" s="148" t="s">
        <v>111</v>
      </c>
      <c r="H25" s="191">
        <v>42208</v>
      </c>
      <c r="I25" s="148" t="s">
        <v>499</v>
      </c>
      <c r="J25" s="148" t="s">
        <v>135</v>
      </c>
      <c r="K25" s="148">
        <v>25</v>
      </c>
      <c r="L25" s="148"/>
    </row>
    <row r="26" spans="2:12" x14ac:dyDescent="0.25">
      <c r="B26" s="148" t="s">
        <v>136</v>
      </c>
      <c r="C26" s="190" t="s">
        <v>248</v>
      </c>
      <c r="D26" s="148" t="s">
        <v>104</v>
      </c>
      <c r="E26" s="148" t="s">
        <v>105</v>
      </c>
      <c r="F26" s="214">
        <v>28.8</v>
      </c>
      <c r="G26" s="148" t="s">
        <v>247</v>
      </c>
      <c r="H26" s="191">
        <v>42300.555555555562</v>
      </c>
      <c r="I26" s="148">
        <v>5.69</v>
      </c>
      <c r="J26" s="148" t="s">
        <v>133</v>
      </c>
      <c r="K26" s="148">
        <v>25</v>
      </c>
      <c r="L26" s="148"/>
    </row>
    <row r="27" spans="2:12" x14ac:dyDescent="0.25">
      <c r="B27" s="148" t="s">
        <v>136</v>
      </c>
      <c r="C27" s="190" t="s">
        <v>248</v>
      </c>
      <c r="D27" s="148" t="s">
        <v>104</v>
      </c>
      <c r="E27" s="148" t="s">
        <v>105</v>
      </c>
      <c r="F27" s="214">
        <v>7.2</v>
      </c>
      <c r="G27" s="148" t="s">
        <v>247</v>
      </c>
      <c r="H27" s="191">
        <v>42795</v>
      </c>
      <c r="I27" s="148">
        <v>5.69</v>
      </c>
      <c r="J27" s="148" t="s">
        <v>133</v>
      </c>
      <c r="K27" s="148">
        <v>25</v>
      </c>
      <c r="L27" s="148"/>
    </row>
    <row r="28" spans="2:12" x14ac:dyDescent="0.25">
      <c r="B28" s="148" t="s">
        <v>137</v>
      </c>
      <c r="C28" s="190" t="s">
        <v>248</v>
      </c>
      <c r="D28" s="148" t="s">
        <v>104</v>
      </c>
      <c r="E28" s="148" t="s">
        <v>105</v>
      </c>
      <c r="F28" s="214">
        <v>25.6</v>
      </c>
      <c r="G28" s="148" t="s">
        <v>111</v>
      </c>
      <c r="H28" s="191">
        <v>42287.624999999993</v>
      </c>
      <c r="I28" s="148" t="s">
        <v>500</v>
      </c>
      <c r="J28" s="148" t="s">
        <v>131</v>
      </c>
      <c r="K28" s="148">
        <v>25</v>
      </c>
      <c r="L28" s="148"/>
    </row>
    <row r="29" spans="2:12" x14ac:dyDescent="0.25">
      <c r="B29" s="148" t="s">
        <v>138</v>
      </c>
      <c r="C29" s="190" t="s">
        <v>248</v>
      </c>
      <c r="D29" s="148" t="s">
        <v>104</v>
      </c>
      <c r="E29" s="148" t="s">
        <v>105</v>
      </c>
      <c r="F29" s="214">
        <v>100.8</v>
      </c>
      <c r="G29" s="148" t="s">
        <v>111</v>
      </c>
      <c r="H29" s="191">
        <v>42365.833333333328</v>
      </c>
      <c r="I29" s="148" t="s">
        <v>500</v>
      </c>
      <c r="J29" s="148" t="s">
        <v>366</v>
      </c>
      <c r="K29" s="148">
        <v>25</v>
      </c>
      <c r="L29" s="148"/>
    </row>
    <row r="30" spans="2:12" x14ac:dyDescent="0.25">
      <c r="B30" s="148" t="s">
        <v>139</v>
      </c>
      <c r="C30" s="148" t="s">
        <v>367</v>
      </c>
      <c r="D30" s="148" t="s">
        <v>104</v>
      </c>
      <c r="E30" s="148" t="s">
        <v>105</v>
      </c>
      <c r="F30" s="214">
        <v>40</v>
      </c>
      <c r="G30" s="148" t="s">
        <v>116</v>
      </c>
      <c r="H30" s="191">
        <v>42339</v>
      </c>
      <c r="I30" s="148" t="s">
        <v>501</v>
      </c>
      <c r="J30" s="148" t="s">
        <v>117</v>
      </c>
      <c r="K30" s="148">
        <v>10</v>
      </c>
      <c r="L30" s="148"/>
    </row>
    <row r="31" spans="2:12" x14ac:dyDescent="0.25">
      <c r="B31" s="148" t="s">
        <v>140</v>
      </c>
      <c r="C31" s="190" t="s">
        <v>248</v>
      </c>
      <c r="D31" s="148" t="s">
        <v>104</v>
      </c>
      <c r="E31" s="148" t="s">
        <v>105</v>
      </c>
      <c r="F31" s="214">
        <v>90.3</v>
      </c>
      <c r="G31" s="148" t="s">
        <v>247</v>
      </c>
      <c r="H31" s="191">
        <v>42430</v>
      </c>
      <c r="I31" s="148">
        <v>5.92</v>
      </c>
      <c r="J31" s="148" t="s">
        <v>133</v>
      </c>
      <c r="K31" s="148">
        <v>25</v>
      </c>
      <c r="L31" s="148"/>
    </row>
    <row r="32" spans="2:12" x14ac:dyDescent="0.25">
      <c r="B32" s="148" t="s">
        <v>141</v>
      </c>
      <c r="C32" s="190" t="s">
        <v>248</v>
      </c>
      <c r="D32" s="148" t="s">
        <v>104</v>
      </c>
      <c r="E32" s="148" t="s">
        <v>105</v>
      </c>
      <c r="F32" s="214">
        <v>12</v>
      </c>
      <c r="G32" s="148" t="s">
        <v>107</v>
      </c>
      <c r="H32" s="191">
        <v>42248</v>
      </c>
      <c r="I32" s="148">
        <v>4.1500000000000004</v>
      </c>
      <c r="J32" s="148" t="s">
        <v>142</v>
      </c>
      <c r="K32" s="148">
        <v>25</v>
      </c>
      <c r="L32" s="148"/>
    </row>
    <row r="33" spans="2:12" x14ac:dyDescent="0.25">
      <c r="B33" s="148" t="s">
        <v>143</v>
      </c>
      <c r="C33" s="190" t="s">
        <v>248</v>
      </c>
      <c r="D33" s="148" t="s">
        <v>104</v>
      </c>
      <c r="E33" s="148" t="s">
        <v>105</v>
      </c>
      <c r="F33" s="214">
        <v>60</v>
      </c>
      <c r="G33" s="148" t="s">
        <v>116</v>
      </c>
      <c r="H33" s="191">
        <v>42760.7</v>
      </c>
      <c r="I33" s="148" t="s">
        <v>502</v>
      </c>
      <c r="J33" s="148" t="s">
        <v>144</v>
      </c>
      <c r="K33" s="148">
        <v>25</v>
      </c>
      <c r="L33" s="148"/>
    </row>
    <row r="34" spans="2:12" x14ac:dyDescent="0.25">
      <c r="B34" s="148" t="s">
        <v>145</v>
      </c>
      <c r="C34" s="190" t="s">
        <v>248</v>
      </c>
      <c r="D34" s="148" t="s">
        <v>104</v>
      </c>
      <c r="E34" s="148" t="s">
        <v>105</v>
      </c>
      <c r="F34" s="214">
        <v>50</v>
      </c>
      <c r="G34" s="148" t="s">
        <v>116</v>
      </c>
      <c r="H34" s="191">
        <v>42795</v>
      </c>
      <c r="I34" s="148" t="s">
        <v>502</v>
      </c>
      <c r="J34" s="148" t="s">
        <v>144</v>
      </c>
      <c r="K34" s="148">
        <v>25</v>
      </c>
      <c r="L34" s="148"/>
    </row>
    <row r="35" spans="2:12" x14ac:dyDescent="0.25">
      <c r="B35" s="148" t="s">
        <v>146</v>
      </c>
      <c r="C35" s="190" t="s">
        <v>248</v>
      </c>
      <c r="D35" s="148" t="s">
        <v>104</v>
      </c>
      <c r="E35" s="148" t="s">
        <v>105</v>
      </c>
      <c r="F35" s="214">
        <v>38</v>
      </c>
      <c r="G35" s="148" t="s">
        <v>107</v>
      </c>
      <c r="H35" s="191">
        <v>42825</v>
      </c>
      <c r="I35" s="148">
        <v>3.86</v>
      </c>
      <c r="J35" s="148" t="s">
        <v>142</v>
      </c>
      <c r="K35" s="148">
        <v>25</v>
      </c>
      <c r="L35" s="148"/>
    </row>
    <row r="36" spans="2:12" x14ac:dyDescent="0.25">
      <c r="B36" s="148" t="s">
        <v>146</v>
      </c>
      <c r="C36" s="190" t="s">
        <v>248</v>
      </c>
      <c r="D36" s="148" t="s">
        <v>104</v>
      </c>
      <c r="E36" s="148" t="s">
        <v>105</v>
      </c>
      <c r="F36" s="214">
        <v>10</v>
      </c>
      <c r="G36" s="148" t="s">
        <v>107</v>
      </c>
      <c r="H36" s="191">
        <v>42870</v>
      </c>
      <c r="I36" s="148">
        <v>3.86</v>
      </c>
      <c r="J36" s="148" t="s">
        <v>142</v>
      </c>
      <c r="K36" s="148">
        <v>25</v>
      </c>
      <c r="L36" s="148"/>
    </row>
    <row r="37" spans="2:12" x14ac:dyDescent="0.25">
      <c r="B37" s="148" t="s">
        <v>147</v>
      </c>
      <c r="C37" s="190" t="s">
        <v>248</v>
      </c>
      <c r="D37" s="148" t="s">
        <v>104</v>
      </c>
      <c r="E37" s="148" t="s">
        <v>105</v>
      </c>
      <c r="F37" s="214">
        <v>100.8</v>
      </c>
      <c r="G37" s="148" t="s">
        <v>246</v>
      </c>
      <c r="H37" s="191">
        <v>42795</v>
      </c>
      <c r="I37" s="148" t="s">
        <v>497</v>
      </c>
      <c r="J37" s="148" t="s">
        <v>148</v>
      </c>
      <c r="K37" s="148">
        <v>25</v>
      </c>
      <c r="L37" s="148"/>
    </row>
    <row r="38" spans="2:12" x14ac:dyDescent="0.25">
      <c r="B38" s="148" t="s">
        <v>149</v>
      </c>
      <c r="C38" s="190" t="s">
        <v>248</v>
      </c>
      <c r="D38" s="148" t="s">
        <v>104</v>
      </c>
      <c r="E38" s="148" t="s">
        <v>105</v>
      </c>
      <c r="F38" s="214">
        <v>44</v>
      </c>
      <c r="G38" s="148" t="s">
        <v>247</v>
      </c>
      <c r="H38" s="191">
        <v>42795</v>
      </c>
      <c r="I38" s="148">
        <v>4.78</v>
      </c>
      <c r="J38" s="148" t="s">
        <v>133</v>
      </c>
      <c r="K38" s="148">
        <v>25</v>
      </c>
      <c r="L38" s="148"/>
    </row>
    <row r="39" spans="2:12" x14ac:dyDescent="0.25">
      <c r="B39" s="148" t="s">
        <v>150</v>
      </c>
      <c r="C39" s="190" t="s">
        <v>248</v>
      </c>
      <c r="D39" s="148" t="s">
        <v>104</v>
      </c>
      <c r="E39" s="148" t="s">
        <v>105</v>
      </c>
      <c r="F39" s="214">
        <v>8</v>
      </c>
      <c r="G39" s="148" t="s">
        <v>247</v>
      </c>
      <c r="H39" s="191">
        <v>42795</v>
      </c>
      <c r="I39" s="148">
        <v>4.78</v>
      </c>
      <c r="J39" s="148" t="s">
        <v>133</v>
      </c>
      <c r="K39" s="148">
        <v>25</v>
      </c>
      <c r="L39" s="148"/>
    </row>
    <row r="40" spans="2:12" x14ac:dyDescent="0.25">
      <c r="B40" s="148" t="s">
        <v>151</v>
      </c>
      <c r="C40" s="190" t="s">
        <v>248</v>
      </c>
      <c r="D40" s="148" t="s">
        <v>104</v>
      </c>
      <c r="E40" s="148" t="s">
        <v>105</v>
      </c>
      <c r="F40" s="214">
        <v>50</v>
      </c>
      <c r="G40" s="148" t="s">
        <v>107</v>
      </c>
      <c r="H40" s="191">
        <v>42795</v>
      </c>
      <c r="I40" s="148">
        <v>4.1900000000000004</v>
      </c>
      <c r="J40" s="148" t="s">
        <v>142</v>
      </c>
      <c r="K40" s="148">
        <v>25</v>
      </c>
      <c r="L40" s="148"/>
    </row>
    <row r="41" spans="2:12" x14ac:dyDescent="0.25">
      <c r="B41" s="148" t="s">
        <v>152</v>
      </c>
      <c r="C41" s="190" t="s">
        <v>248</v>
      </c>
      <c r="D41" s="148" t="s">
        <v>104</v>
      </c>
      <c r="E41" s="148" t="s">
        <v>105</v>
      </c>
      <c r="F41" s="214">
        <v>18</v>
      </c>
      <c r="G41" s="148" t="s">
        <v>247</v>
      </c>
      <c r="H41" s="191">
        <v>42663.25</v>
      </c>
      <c r="I41" s="148">
        <v>4.78</v>
      </c>
      <c r="J41" s="148" t="s">
        <v>133</v>
      </c>
      <c r="K41" s="148">
        <v>25</v>
      </c>
      <c r="L41" s="148"/>
    </row>
    <row r="42" spans="2:12" ht="24" x14ac:dyDescent="0.25">
      <c r="B42" s="148" t="s">
        <v>153</v>
      </c>
      <c r="C42" s="190" t="s">
        <v>248</v>
      </c>
      <c r="D42" s="148" t="s">
        <v>104</v>
      </c>
      <c r="E42" s="148" t="s">
        <v>105</v>
      </c>
      <c r="F42" s="214">
        <v>40</v>
      </c>
      <c r="G42" s="148" t="s">
        <v>246</v>
      </c>
      <c r="H42" s="191">
        <v>42767</v>
      </c>
      <c r="I42" s="148" t="s">
        <v>497</v>
      </c>
      <c r="J42" s="148" t="s">
        <v>148</v>
      </c>
      <c r="K42" s="148">
        <v>25</v>
      </c>
      <c r="L42" s="148"/>
    </row>
    <row r="43" spans="2:12" ht="24" x14ac:dyDescent="0.25">
      <c r="B43" s="148" t="s">
        <v>154</v>
      </c>
      <c r="C43" s="190" t="s">
        <v>248</v>
      </c>
      <c r="D43" s="148" t="s">
        <v>104</v>
      </c>
      <c r="E43" s="148" t="s">
        <v>105</v>
      </c>
      <c r="F43" s="214">
        <v>39.1</v>
      </c>
      <c r="G43" s="148" t="s">
        <v>246</v>
      </c>
      <c r="H43" s="191">
        <v>42583</v>
      </c>
      <c r="I43" s="148" t="s">
        <v>503</v>
      </c>
      <c r="J43" s="148" t="s">
        <v>125</v>
      </c>
      <c r="K43" s="148">
        <v>25</v>
      </c>
      <c r="L43" s="148"/>
    </row>
    <row r="44" spans="2:12" ht="24" x14ac:dyDescent="0.25">
      <c r="B44" s="148" t="s">
        <v>155</v>
      </c>
      <c r="C44" s="190" t="s">
        <v>248</v>
      </c>
      <c r="D44" s="148" t="s">
        <v>104</v>
      </c>
      <c r="E44" s="148" t="s">
        <v>105</v>
      </c>
      <c r="F44" s="214">
        <v>24</v>
      </c>
      <c r="G44" s="148" t="s">
        <v>246</v>
      </c>
      <c r="H44" s="191">
        <v>42217</v>
      </c>
      <c r="I44" s="148" t="s">
        <v>503</v>
      </c>
      <c r="J44" s="148" t="s">
        <v>125</v>
      </c>
      <c r="K44" s="148">
        <v>25</v>
      </c>
      <c r="L44" s="148"/>
    </row>
    <row r="45" spans="2:12" x14ac:dyDescent="0.25">
      <c r="B45" s="148" t="s">
        <v>156</v>
      </c>
      <c r="C45" s="190" t="s">
        <v>248</v>
      </c>
      <c r="D45" s="148" t="s">
        <v>104</v>
      </c>
      <c r="E45" s="148" t="s">
        <v>105</v>
      </c>
      <c r="F45" s="214">
        <v>26</v>
      </c>
      <c r="G45" s="148" t="s">
        <v>247</v>
      </c>
      <c r="H45" s="191">
        <v>42795</v>
      </c>
      <c r="I45" s="148">
        <v>4.78</v>
      </c>
      <c r="J45" s="148" t="s">
        <v>133</v>
      </c>
      <c r="K45" s="148">
        <v>25</v>
      </c>
      <c r="L45" s="148"/>
    </row>
    <row r="46" spans="2:12" x14ac:dyDescent="0.25">
      <c r="B46" s="148" t="s">
        <v>157</v>
      </c>
      <c r="C46" s="190" t="s">
        <v>248</v>
      </c>
      <c r="D46" s="148" t="s">
        <v>104</v>
      </c>
      <c r="E46" s="148" t="s">
        <v>105</v>
      </c>
      <c r="F46" s="214">
        <v>46</v>
      </c>
      <c r="G46" s="148" t="s">
        <v>246</v>
      </c>
      <c r="H46" s="191">
        <v>42795</v>
      </c>
      <c r="I46" s="148" t="s">
        <v>497</v>
      </c>
      <c r="J46" s="148" t="s">
        <v>125</v>
      </c>
      <c r="K46" s="148">
        <v>25</v>
      </c>
      <c r="L46" s="148"/>
    </row>
    <row r="47" spans="2:12" x14ac:dyDescent="0.25">
      <c r="B47" s="148" t="s">
        <v>158</v>
      </c>
      <c r="C47" s="190" t="s">
        <v>248</v>
      </c>
      <c r="D47" s="148" t="s">
        <v>104</v>
      </c>
      <c r="E47" s="148" t="s">
        <v>105</v>
      </c>
      <c r="F47" s="214">
        <v>50.4</v>
      </c>
      <c r="G47" s="148" t="s">
        <v>111</v>
      </c>
      <c r="H47" s="191">
        <v>42210.666666666664</v>
      </c>
      <c r="I47" s="148" t="s">
        <v>504</v>
      </c>
      <c r="J47" s="148" t="s">
        <v>366</v>
      </c>
      <c r="K47" s="148">
        <v>25</v>
      </c>
      <c r="L47" s="148"/>
    </row>
    <row r="48" spans="2:12" x14ac:dyDescent="0.25">
      <c r="B48" s="148" t="s">
        <v>159</v>
      </c>
      <c r="C48" s="190" t="s">
        <v>248</v>
      </c>
      <c r="D48" s="148" t="s">
        <v>104</v>
      </c>
      <c r="E48" s="148" t="s">
        <v>105</v>
      </c>
      <c r="F48" s="214">
        <v>25.6</v>
      </c>
      <c r="G48" s="148" t="s">
        <v>111</v>
      </c>
      <c r="H48" s="191">
        <v>42287.624999999993</v>
      </c>
      <c r="I48" s="148" t="s">
        <v>504</v>
      </c>
      <c r="J48" s="148" t="s">
        <v>131</v>
      </c>
      <c r="K48" s="148">
        <v>25</v>
      </c>
      <c r="L48" s="148"/>
    </row>
    <row r="49" spans="2:12" x14ac:dyDescent="0.25">
      <c r="B49" s="148" t="s">
        <v>160</v>
      </c>
      <c r="C49" s="190" t="s">
        <v>248</v>
      </c>
      <c r="D49" s="148" t="s">
        <v>104</v>
      </c>
      <c r="E49" s="148" t="s">
        <v>105</v>
      </c>
      <c r="F49" s="214">
        <v>92</v>
      </c>
      <c r="G49" s="148" t="s">
        <v>247</v>
      </c>
      <c r="H49" s="191">
        <v>42430</v>
      </c>
      <c r="I49" s="148">
        <v>5.92</v>
      </c>
      <c r="J49" s="148" t="s">
        <v>133</v>
      </c>
      <c r="K49" s="148">
        <v>25</v>
      </c>
      <c r="L49" s="148"/>
    </row>
    <row r="50" spans="2:12" x14ac:dyDescent="0.25">
      <c r="B50" s="148" t="s">
        <v>161</v>
      </c>
      <c r="C50" s="190" t="s">
        <v>248</v>
      </c>
      <c r="D50" s="148" t="s">
        <v>104</v>
      </c>
      <c r="E50" s="148" t="s">
        <v>105</v>
      </c>
      <c r="F50" s="214">
        <v>66</v>
      </c>
      <c r="G50" s="148" t="s">
        <v>247</v>
      </c>
      <c r="H50" s="191">
        <v>42430</v>
      </c>
      <c r="I50" s="148">
        <v>5.92</v>
      </c>
      <c r="J50" s="148" t="s">
        <v>133</v>
      </c>
      <c r="K50" s="148">
        <v>25</v>
      </c>
      <c r="L50" s="148"/>
    </row>
    <row r="51" spans="2:12" x14ac:dyDescent="0.25">
      <c r="B51" s="148" t="s">
        <v>162</v>
      </c>
      <c r="C51" s="190" t="s">
        <v>248</v>
      </c>
      <c r="D51" s="148" t="s">
        <v>104</v>
      </c>
      <c r="E51" s="148" t="s">
        <v>105</v>
      </c>
      <c r="F51" s="214">
        <v>100</v>
      </c>
      <c r="G51" s="148" t="s">
        <v>246</v>
      </c>
      <c r="H51" s="191">
        <v>42614.78</v>
      </c>
      <c r="I51" s="148" t="s">
        <v>497</v>
      </c>
      <c r="J51" s="148" t="s">
        <v>125</v>
      </c>
      <c r="K51" s="148">
        <v>25</v>
      </c>
      <c r="L51" s="148"/>
    </row>
    <row r="52" spans="2:12" x14ac:dyDescent="0.25">
      <c r="B52" s="148" t="s">
        <v>163</v>
      </c>
      <c r="C52" s="190" t="s">
        <v>248</v>
      </c>
      <c r="D52" s="148" t="s">
        <v>104</v>
      </c>
      <c r="E52" s="148" t="s">
        <v>105</v>
      </c>
      <c r="F52" s="214">
        <v>60</v>
      </c>
      <c r="G52" s="148" t="s">
        <v>116</v>
      </c>
      <c r="H52" s="191">
        <v>42795</v>
      </c>
      <c r="I52" s="148" t="s">
        <v>502</v>
      </c>
      <c r="J52" s="148" t="s">
        <v>144</v>
      </c>
      <c r="K52" s="148">
        <v>25</v>
      </c>
      <c r="L52" s="148"/>
    </row>
    <row r="53" spans="2:12" x14ac:dyDescent="0.25">
      <c r="B53" s="148" t="s">
        <v>164</v>
      </c>
      <c r="C53" s="190" t="s">
        <v>248</v>
      </c>
      <c r="D53" s="148" t="s">
        <v>104</v>
      </c>
      <c r="E53" s="148" t="s">
        <v>105</v>
      </c>
      <c r="F53" s="214">
        <v>98.7</v>
      </c>
      <c r="G53" s="148" t="s">
        <v>246</v>
      </c>
      <c r="H53" s="191">
        <v>42795</v>
      </c>
      <c r="I53" s="148" t="s">
        <v>497</v>
      </c>
      <c r="J53" s="148" t="s">
        <v>125</v>
      </c>
      <c r="K53" s="148">
        <v>25</v>
      </c>
      <c r="L53" s="148"/>
    </row>
    <row r="54" spans="2:12" x14ac:dyDescent="0.25">
      <c r="B54" s="148" t="s">
        <v>165</v>
      </c>
      <c r="C54" s="190" t="s">
        <v>248</v>
      </c>
      <c r="D54" s="148" t="s">
        <v>104</v>
      </c>
      <c r="E54" s="148" t="s">
        <v>105</v>
      </c>
      <c r="F54" s="214">
        <v>98.7</v>
      </c>
      <c r="G54" s="148" t="s">
        <v>246</v>
      </c>
      <c r="H54" s="191">
        <v>42795</v>
      </c>
      <c r="I54" s="148" t="s">
        <v>497</v>
      </c>
      <c r="J54" s="148" t="s">
        <v>125</v>
      </c>
      <c r="K54" s="148">
        <v>25</v>
      </c>
      <c r="L54" s="148"/>
    </row>
    <row r="55" spans="2:12" x14ac:dyDescent="0.25">
      <c r="B55" s="148" t="s">
        <v>166</v>
      </c>
      <c r="C55" s="190" t="s">
        <v>248</v>
      </c>
      <c r="D55" s="148" t="s">
        <v>104</v>
      </c>
      <c r="E55" s="148" t="s">
        <v>105</v>
      </c>
      <c r="F55" s="214">
        <v>27.3</v>
      </c>
      <c r="G55" s="148" t="s">
        <v>247</v>
      </c>
      <c r="H55" s="191">
        <v>42795</v>
      </c>
      <c r="I55" s="148">
        <v>4.78</v>
      </c>
      <c r="J55" s="148" t="s">
        <v>133</v>
      </c>
      <c r="K55" s="148">
        <v>25</v>
      </c>
      <c r="L55" s="148"/>
    </row>
    <row r="56" spans="2:12" x14ac:dyDescent="0.25">
      <c r="B56" s="148" t="s">
        <v>167</v>
      </c>
      <c r="C56" s="190" t="s">
        <v>248</v>
      </c>
      <c r="D56" s="148" t="s">
        <v>104</v>
      </c>
      <c r="E56" s="148" t="s">
        <v>105</v>
      </c>
      <c r="F56" s="214">
        <v>29.4</v>
      </c>
      <c r="G56" s="148" t="s">
        <v>247</v>
      </c>
      <c r="H56" s="191">
        <v>42795</v>
      </c>
      <c r="I56" s="148">
        <v>4.78</v>
      </c>
      <c r="J56" s="148" t="s">
        <v>133</v>
      </c>
      <c r="K56" s="148">
        <v>25</v>
      </c>
      <c r="L56" s="148"/>
    </row>
    <row r="57" spans="2:12" x14ac:dyDescent="0.25">
      <c r="B57" s="148" t="s">
        <v>168</v>
      </c>
      <c r="C57" s="190" t="s">
        <v>248</v>
      </c>
      <c r="D57" s="148" t="s">
        <v>104</v>
      </c>
      <c r="E57" s="148" t="s">
        <v>105</v>
      </c>
      <c r="F57" s="214">
        <v>230.1</v>
      </c>
      <c r="G57" s="148" t="s">
        <v>107</v>
      </c>
      <c r="H57" s="191">
        <v>43743.672750977836</v>
      </c>
      <c r="I57" s="148">
        <v>2.64</v>
      </c>
      <c r="J57" s="148" t="s">
        <v>169</v>
      </c>
      <c r="K57" s="148">
        <v>25</v>
      </c>
      <c r="L57" s="148"/>
    </row>
    <row r="58" spans="2:12" x14ac:dyDescent="0.25">
      <c r="B58" s="148" t="s">
        <v>170</v>
      </c>
      <c r="C58" s="190" t="s">
        <v>248</v>
      </c>
      <c r="D58" s="148" t="s">
        <v>104</v>
      </c>
      <c r="E58" s="148" t="s">
        <v>105</v>
      </c>
      <c r="F58" s="214">
        <v>250</v>
      </c>
      <c r="G58" s="148" t="s">
        <v>107</v>
      </c>
      <c r="H58" s="191">
        <v>43374</v>
      </c>
      <c r="I58" s="148">
        <v>3.46</v>
      </c>
      <c r="J58" s="148" t="s">
        <v>171</v>
      </c>
      <c r="K58" s="148">
        <v>25</v>
      </c>
      <c r="L58" s="148"/>
    </row>
    <row r="59" spans="2:12" x14ac:dyDescent="0.25">
      <c r="B59" s="148" t="s">
        <v>172</v>
      </c>
      <c r="C59" s="190" t="s">
        <v>248</v>
      </c>
      <c r="D59" s="148" t="s">
        <v>104</v>
      </c>
      <c r="E59" s="148" t="s">
        <v>105</v>
      </c>
      <c r="F59" s="214">
        <v>100</v>
      </c>
      <c r="G59" s="148" t="s">
        <v>116</v>
      </c>
      <c r="H59" s="191">
        <v>43143.56</v>
      </c>
      <c r="I59" s="148" t="s">
        <v>502</v>
      </c>
      <c r="J59" s="148" t="s">
        <v>173</v>
      </c>
      <c r="K59" s="148">
        <v>25</v>
      </c>
      <c r="L59" s="148"/>
    </row>
    <row r="60" spans="2:12" x14ac:dyDescent="0.25">
      <c r="B60" s="148" t="s">
        <v>174</v>
      </c>
      <c r="C60" s="190" t="s">
        <v>248</v>
      </c>
      <c r="D60" s="148" t="s">
        <v>104</v>
      </c>
      <c r="E60" s="148" t="s">
        <v>105</v>
      </c>
      <c r="F60" s="214">
        <v>40</v>
      </c>
      <c r="G60" s="148" t="s">
        <v>116</v>
      </c>
      <c r="H60" s="191">
        <v>43160</v>
      </c>
      <c r="I60" s="148" t="s">
        <v>505</v>
      </c>
      <c r="J60" s="148" t="s">
        <v>175</v>
      </c>
      <c r="K60" s="148">
        <v>25</v>
      </c>
      <c r="L60" s="148"/>
    </row>
    <row r="61" spans="2:12" x14ac:dyDescent="0.25">
      <c r="B61" s="148" t="s">
        <v>176</v>
      </c>
      <c r="C61" s="190" t="s">
        <v>248</v>
      </c>
      <c r="D61" s="148" t="s">
        <v>104</v>
      </c>
      <c r="E61" s="148" t="s">
        <v>105</v>
      </c>
      <c r="F61" s="214">
        <v>50</v>
      </c>
      <c r="G61" s="148" t="s">
        <v>116</v>
      </c>
      <c r="H61" s="191">
        <v>43160</v>
      </c>
      <c r="I61" s="148" t="s">
        <v>505</v>
      </c>
      <c r="J61" s="148" t="s">
        <v>173</v>
      </c>
      <c r="K61" s="148">
        <v>25</v>
      </c>
      <c r="L61" s="148"/>
    </row>
    <row r="62" spans="2:12" x14ac:dyDescent="0.25">
      <c r="B62" s="148" t="s">
        <v>177</v>
      </c>
      <c r="C62" s="190" t="s">
        <v>248</v>
      </c>
      <c r="D62" s="148" t="s">
        <v>104</v>
      </c>
      <c r="E62" s="148" t="s">
        <v>105</v>
      </c>
      <c r="F62" s="214">
        <v>60</v>
      </c>
      <c r="G62" s="148" t="s">
        <v>116</v>
      </c>
      <c r="H62" s="191">
        <v>43160</v>
      </c>
      <c r="I62" s="148" t="s">
        <v>505</v>
      </c>
      <c r="J62" s="148" t="s">
        <v>173</v>
      </c>
      <c r="K62" s="148">
        <v>25</v>
      </c>
      <c r="L62" s="148"/>
    </row>
    <row r="63" spans="2:12" x14ac:dyDescent="0.25">
      <c r="B63" s="148" t="s">
        <v>432</v>
      </c>
      <c r="C63" s="190" t="s">
        <v>248</v>
      </c>
      <c r="D63" s="148" t="s">
        <v>104</v>
      </c>
      <c r="E63" s="148" t="s">
        <v>105</v>
      </c>
      <c r="F63" s="214">
        <v>71.400000000000006</v>
      </c>
      <c r="G63" s="148" t="s">
        <v>116</v>
      </c>
      <c r="H63" s="191">
        <v>43187.705882352937</v>
      </c>
      <c r="I63" s="148" t="s">
        <v>506</v>
      </c>
      <c r="J63" s="148" t="s">
        <v>178</v>
      </c>
      <c r="K63" s="148">
        <v>25</v>
      </c>
      <c r="L63" s="148"/>
    </row>
    <row r="64" spans="2:12" x14ac:dyDescent="0.25">
      <c r="B64" s="148" t="s">
        <v>179</v>
      </c>
      <c r="C64" s="190" t="s">
        <v>248</v>
      </c>
      <c r="D64" s="148" t="s">
        <v>104</v>
      </c>
      <c r="E64" s="148" t="s">
        <v>105</v>
      </c>
      <c r="F64" s="214">
        <v>50.4</v>
      </c>
      <c r="G64" s="148" t="s">
        <v>246</v>
      </c>
      <c r="H64" s="191">
        <v>43160</v>
      </c>
      <c r="I64" s="148" t="s">
        <v>497</v>
      </c>
      <c r="J64" s="148" t="s">
        <v>125</v>
      </c>
      <c r="K64" s="148">
        <v>25</v>
      </c>
      <c r="L64" s="148"/>
    </row>
    <row r="65" spans="2:12" x14ac:dyDescent="0.25">
      <c r="B65" s="148" t="s">
        <v>142</v>
      </c>
      <c r="C65" s="190" t="s">
        <v>248</v>
      </c>
      <c r="D65" s="148" t="s">
        <v>104</v>
      </c>
      <c r="E65" s="148" t="s">
        <v>105</v>
      </c>
      <c r="F65" s="214">
        <v>35</v>
      </c>
      <c r="G65" s="148" t="s">
        <v>107</v>
      </c>
      <c r="H65" s="191">
        <v>43743.785714285717</v>
      </c>
      <c r="I65" s="148">
        <v>2.4500000000000002</v>
      </c>
      <c r="J65" s="148" t="s">
        <v>142</v>
      </c>
      <c r="K65" s="148">
        <v>25</v>
      </c>
      <c r="L65" s="148"/>
    </row>
    <row r="66" spans="2:12" x14ac:dyDescent="0.25">
      <c r="B66" s="148" t="s">
        <v>180</v>
      </c>
      <c r="C66" s="190" t="s">
        <v>248</v>
      </c>
      <c r="D66" s="148" t="s">
        <v>104</v>
      </c>
      <c r="E66" s="148" t="s">
        <v>105</v>
      </c>
      <c r="F66" s="214">
        <v>76</v>
      </c>
      <c r="G66" s="148" t="s">
        <v>108</v>
      </c>
      <c r="H66" s="191">
        <v>43811.184210526313</v>
      </c>
      <c r="I66" s="148">
        <v>2.85</v>
      </c>
      <c r="J66" s="148" t="s">
        <v>110</v>
      </c>
      <c r="K66" s="148">
        <v>25</v>
      </c>
      <c r="L66" s="148"/>
    </row>
    <row r="67" spans="2:12" x14ac:dyDescent="0.25">
      <c r="B67" s="148" t="s">
        <v>181</v>
      </c>
      <c r="C67" s="190" t="s">
        <v>248</v>
      </c>
      <c r="D67" s="148" t="s">
        <v>104</v>
      </c>
      <c r="E67" s="148" t="s">
        <v>105</v>
      </c>
      <c r="F67" s="214">
        <v>60</v>
      </c>
      <c r="G67" s="148" t="s">
        <v>111</v>
      </c>
      <c r="H67" s="191">
        <v>41033.933333333334</v>
      </c>
      <c r="I67" s="148" t="s">
        <v>507</v>
      </c>
      <c r="J67" s="148" t="s">
        <v>135</v>
      </c>
      <c r="K67" s="148" t="s">
        <v>182</v>
      </c>
      <c r="L67" s="148"/>
    </row>
    <row r="68" spans="2:12" x14ac:dyDescent="0.25">
      <c r="B68" s="148" t="s">
        <v>433</v>
      </c>
      <c r="C68" s="190" t="s">
        <v>248</v>
      </c>
      <c r="D68" s="148" t="s">
        <v>104</v>
      </c>
      <c r="E68" s="148" t="s">
        <v>105</v>
      </c>
      <c r="F68" s="214">
        <f>136.5+63</f>
        <v>199.5</v>
      </c>
      <c r="G68" s="148" t="s">
        <v>116</v>
      </c>
      <c r="H68" s="191">
        <v>44560.989473684211</v>
      </c>
      <c r="I68" s="148">
        <v>2.82</v>
      </c>
      <c r="J68" s="148" t="s">
        <v>169</v>
      </c>
      <c r="K68" s="148">
        <v>25</v>
      </c>
      <c r="L68" s="148"/>
    </row>
    <row r="69" spans="2:12" x14ac:dyDescent="0.25">
      <c r="B69" s="148" t="s">
        <v>433</v>
      </c>
      <c r="C69" s="148" t="s">
        <v>463</v>
      </c>
      <c r="D69" s="148" t="s">
        <v>104</v>
      </c>
      <c r="E69" s="148" t="s">
        <v>105</v>
      </c>
      <c r="F69" s="214">
        <v>69.3</v>
      </c>
      <c r="G69" s="148" t="s">
        <v>116</v>
      </c>
      <c r="H69" s="191">
        <v>44977.395833333336</v>
      </c>
      <c r="I69" s="148" t="s">
        <v>458</v>
      </c>
      <c r="J69" s="148" t="s">
        <v>462</v>
      </c>
      <c r="K69" s="148">
        <v>25</v>
      </c>
      <c r="L69" s="148"/>
    </row>
    <row r="70" spans="2:12" x14ac:dyDescent="0.25">
      <c r="B70" s="148" t="s">
        <v>433</v>
      </c>
      <c r="C70" s="148" t="s">
        <v>463</v>
      </c>
      <c r="D70" s="148" t="s">
        <v>104</v>
      </c>
      <c r="E70" s="148" t="s">
        <v>105</v>
      </c>
      <c r="F70" s="214">
        <v>31.5</v>
      </c>
      <c r="G70" s="148" t="s">
        <v>116</v>
      </c>
      <c r="H70" s="191">
        <v>45023</v>
      </c>
      <c r="I70" s="148" t="s">
        <v>458</v>
      </c>
      <c r="J70" s="148" t="s">
        <v>462</v>
      </c>
      <c r="K70" s="148">
        <v>25</v>
      </c>
      <c r="L70" s="148"/>
    </row>
    <row r="71" spans="2:12" x14ac:dyDescent="0.25">
      <c r="B71" s="148" t="s">
        <v>434</v>
      </c>
      <c r="C71" s="190" t="s">
        <v>248</v>
      </c>
      <c r="D71" s="148" t="s">
        <v>104</v>
      </c>
      <c r="E71" s="148" t="s">
        <v>105</v>
      </c>
      <c r="F71" s="214">
        <v>50.6</v>
      </c>
      <c r="G71" s="148" t="s">
        <v>107</v>
      </c>
      <c r="H71" s="191">
        <v>44612.521739130432</v>
      </c>
      <c r="I71" s="148">
        <v>2.81</v>
      </c>
      <c r="J71" s="148" t="s">
        <v>169</v>
      </c>
      <c r="K71" s="148">
        <v>25</v>
      </c>
      <c r="L71" s="148"/>
    </row>
    <row r="72" spans="2:12" x14ac:dyDescent="0.25">
      <c r="B72" s="148" t="s">
        <v>435</v>
      </c>
      <c r="C72" s="190" t="s">
        <v>248</v>
      </c>
      <c r="D72" s="148" t="s">
        <v>104</v>
      </c>
      <c r="E72" s="148" t="s">
        <v>105</v>
      </c>
      <c r="F72" s="214">
        <v>300</v>
      </c>
      <c r="G72" s="148" t="s">
        <v>107</v>
      </c>
      <c r="H72" s="191">
        <v>44184.3</v>
      </c>
      <c r="I72" s="148">
        <v>2.44</v>
      </c>
      <c r="J72" s="148" t="s">
        <v>169</v>
      </c>
      <c r="K72" s="148">
        <v>25</v>
      </c>
      <c r="L72" s="148"/>
    </row>
    <row r="73" spans="2:12" ht="24" x14ac:dyDescent="0.25">
      <c r="B73" s="148" t="s">
        <v>184</v>
      </c>
      <c r="C73" s="148" t="s">
        <v>249</v>
      </c>
      <c r="D73" s="148" t="s">
        <v>183</v>
      </c>
      <c r="E73" s="148" t="s">
        <v>105</v>
      </c>
      <c r="F73" s="214">
        <v>50</v>
      </c>
      <c r="G73" s="148" t="s">
        <v>247</v>
      </c>
      <c r="H73" s="191">
        <v>42156</v>
      </c>
      <c r="I73" s="148">
        <v>6.97</v>
      </c>
      <c r="J73" s="148" t="s">
        <v>133</v>
      </c>
      <c r="K73" s="148">
        <v>25</v>
      </c>
      <c r="L73" s="148"/>
    </row>
    <row r="74" spans="2:12" ht="36" x14ac:dyDescent="0.25">
      <c r="B74" s="148" t="s">
        <v>185</v>
      </c>
      <c r="C74" s="148" t="s">
        <v>249</v>
      </c>
      <c r="D74" s="148" t="s">
        <v>183</v>
      </c>
      <c r="E74" s="148" t="s">
        <v>105</v>
      </c>
      <c r="F74" s="214">
        <v>39</v>
      </c>
      <c r="G74" s="148" t="s">
        <v>246</v>
      </c>
      <c r="H74" s="191">
        <v>42430</v>
      </c>
      <c r="I74" s="148" t="s">
        <v>454</v>
      </c>
      <c r="J74" s="148" t="s">
        <v>125</v>
      </c>
      <c r="K74" s="148">
        <v>25</v>
      </c>
      <c r="L74" s="148"/>
    </row>
    <row r="75" spans="2:12" ht="36" x14ac:dyDescent="0.25">
      <c r="B75" s="148" t="s">
        <v>186</v>
      </c>
      <c r="C75" s="148" t="s">
        <v>249</v>
      </c>
      <c r="D75" s="148" t="s">
        <v>183</v>
      </c>
      <c r="E75" s="148" t="s">
        <v>105</v>
      </c>
      <c r="F75" s="214">
        <v>21</v>
      </c>
      <c r="G75" s="148" t="s">
        <v>246</v>
      </c>
      <c r="H75" s="191">
        <v>42430</v>
      </c>
      <c r="I75" s="148" t="s">
        <v>454</v>
      </c>
      <c r="J75" s="148" t="s">
        <v>125</v>
      </c>
      <c r="K75" s="148">
        <v>25</v>
      </c>
      <c r="L75" s="148"/>
    </row>
    <row r="76" spans="2:12" ht="24" x14ac:dyDescent="0.25">
      <c r="B76" s="148" t="s">
        <v>187</v>
      </c>
      <c r="C76" s="148" t="s">
        <v>249</v>
      </c>
      <c r="D76" s="148" t="s">
        <v>183</v>
      </c>
      <c r="E76" s="148" t="s">
        <v>105</v>
      </c>
      <c r="F76" s="214">
        <v>100</v>
      </c>
      <c r="G76" s="148" t="s">
        <v>114</v>
      </c>
      <c r="H76" s="191">
        <v>42503.6</v>
      </c>
      <c r="I76" s="148">
        <v>6.73</v>
      </c>
      <c r="J76" s="148" t="s">
        <v>188</v>
      </c>
      <c r="K76" s="148">
        <v>25</v>
      </c>
      <c r="L76" s="148"/>
    </row>
    <row r="77" spans="2:12" ht="24" x14ac:dyDescent="0.25">
      <c r="B77" s="148" t="s">
        <v>189</v>
      </c>
      <c r="C77" s="148" t="s">
        <v>249</v>
      </c>
      <c r="D77" s="148" t="s">
        <v>183</v>
      </c>
      <c r="E77" s="148" t="s">
        <v>105</v>
      </c>
      <c r="F77" s="214">
        <v>24</v>
      </c>
      <c r="G77" s="148" t="s">
        <v>114</v>
      </c>
      <c r="H77" s="191">
        <v>42522</v>
      </c>
      <c r="I77" s="148">
        <v>6.8</v>
      </c>
      <c r="J77" s="148" t="s">
        <v>188</v>
      </c>
      <c r="K77" s="148">
        <v>25</v>
      </c>
      <c r="L77" s="148"/>
    </row>
    <row r="78" spans="2:12" ht="24" x14ac:dyDescent="0.25">
      <c r="B78" s="148" t="s">
        <v>190</v>
      </c>
      <c r="C78" s="148" t="s">
        <v>249</v>
      </c>
      <c r="D78" s="148" t="s">
        <v>183</v>
      </c>
      <c r="E78" s="148" t="s">
        <v>105</v>
      </c>
      <c r="F78" s="214">
        <v>51</v>
      </c>
      <c r="G78" s="148" t="s">
        <v>247</v>
      </c>
      <c r="H78" s="191">
        <v>43009</v>
      </c>
      <c r="I78" s="148">
        <v>5.46</v>
      </c>
      <c r="J78" s="148" t="s">
        <v>133</v>
      </c>
      <c r="K78" s="148">
        <v>25</v>
      </c>
      <c r="L78" s="148"/>
    </row>
    <row r="79" spans="2:12" ht="24" x14ac:dyDescent="0.25">
      <c r="B79" s="148" t="s">
        <v>191</v>
      </c>
      <c r="C79" s="148" t="s">
        <v>249</v>
      </c>
      <c r="D79" s="148" t="s">
        <v>183</v>
      </c>
      <c r="E79" s="148" t="s">
        <v>105</v>
      </c>
      <c r="F79" s="214">
        <v>143</v>
      </c>
      <c r="G79" s="148" t="s">
        <v>114</v>
      </c>
      <c r="H79" s="191">
        <v>42890.784618055557</v>
      </c>
      <c r="I79" s="148">
        <v>5.5949</v>
      </c>
      <c r="J79" s="148" t="s">
        <v>192</v>
      </c>
      <c r="K79" s="148">
        <v>25</v>
      </c>
      <c r="L79" s="148"/>
    </row>
    <row r="80" spans="2:12" ht="24" x14ac:dyDescent="0.25">
      <c r="B80" s="148" t="s">
        <v>193</v>
      </c>
      <c r="C80" s="148" t="s">
        <v>249</v>
      </c>
      <c r="D80" s="148" t="s">
        <v>183</v>
      </c>
      <c r="E80" s="148" t="s">
        <v>105</v>
      </c>
      <c r="F80" s="214">
        <v>48</v>
      </c>
      <c r="G80" s="148" t="s">
        <v>114</v>
      </c>
      <c r="H80" s="191">
        <v>42783</v>
      </c>
      <c r="I80" s="148">
        <v>5.59</v>
      </c>
      <c r="J80" s="148" t="s">
        <v>192</v>
      </c>
      <c r="K80" s="148">
        <v>25</v>
      </c>
      <c r="L80" s="148"/>
    </row>
    <row r="81" spans="2:12" ht="24" x14ac:dyDescent="0.25">
      <c r="B81" s="148" t="s">
        <v>194</v>
      </c>
      <c r="C81" s="148" t="s">
        <v>249</v>
      </c>
      <c r="D81" s="148" t="s">
        <v>183</v>
      </c>
      <c r="E81" s="148" t="s">
        <v>105</v>
      </c>
      <c r="F81" s="214">
        <v>65</v>
      </c>
      <c r="G81" s="148" t="s">
        <v>114</v>
      </c>
      <c r="H81" s="191">
        <v>42888.2</v>
      </c>
      <c r="I81" s="148">
        <v>5.59</v>
      </c>
      <c r="J81" s="148" t="s">
        <v>188</v>
      </c>
      <c r="K81" s="148">
        <v>25</v>
      </c>
      <c r="L81" s="148"/>
    </row>
    <row r="82" spans="2:12" ht="24" x14ac:dyDescent="0.25">
      <c r="B82" s="148" t="s">
        <v>195</v>
      </c>
      <c r="C82" s="148" t="s">
        <v>249</v>
      </c>
      <c r="D82" s="148" t="s">
        <v>183</v>
      </c>
      <c r="E82" s="148" t="s">
        <v>105</v>
      </c>
      <c r="F82" s="214">
        <v>30</v>
      </c>
      <c r="G82" s="148" t="s">
        <v>114</v>
      </c>
      <c r="H82" s="191">
        <v>42816.4</v>
      </c>
      <c r="I82" s="148">
        <v>5.59</v>
      </c>
      <c r="J82" s="148" t="s">
        <v>192</v>
      </c>
      <c r="K82" s="148">
        <v>25</v>
      </c>
      <c r="L82" s="148"/>
    </row>
    <row r="83" spans="2:12" ht="24" x14ac:dyDescent="0.25">
      <c r="B83" s="148" t="s">
        <v>196</v>
      </c>
      <c r="C83" s="148" t="s">
        <v>249</v>
      </c>
      <c r="D83" s="148" t="s">
        <v>183</v>
      </c>
      <c r="E83" s="148" t="s">
        <v>105</v>
      </c>
      <c r="F83" s="214">
        <v>20</v>
      </c>
      <c r="G83" s="148" t="s">
        <v>116</v>
      </c>
      <c r="H83" s="191">
        <v>42795</v>
      </c>
      <c r="I83" s="148">
        <v>4.8600000000000003</v>
      </c>
      <c r="J83" s="148" t="s">
        <v>175</v>
      </c>
      <c r="K83" s="148">
        <v>25</v>
      </c>
      <c r="L83" s="148"/>
    </row>
    <row r="84" spans="2:12" ht="24" x14ac:dyDescent="0.25">
      <c r="B84" s="148" t="s">
        <v>197</v>
      </c>
      <c r="C84" s="148" t="s">
        <v>249</v>
      </c>
      <c r="D84" s="148" t="s">
        <v>183</v>
      </c>
      <c r="E84" s="148" t="s">
        <v>105</v>
      </c>
      <c r="F84" s="214">
        <v>20</v>
      </c>
      <c r="G84" s="148" t="s">
        <v>116</v>
      </c>
      <c r="H84" s="191">
        <v>42795</v>
      </c>
      <c r="I84" s="148">
        <v>4.8499999999999996</v>
      </c>
      <c r="J84" s="148" t="s">
        <v>175</v>
      </c>
      <c r="K84" s="148">
        <v>25</v>
      </c>
      <c r="L84" s="148"/>
    </row>
    <row r="85" spans="2:12" ht="24" x14ac:dyDescent="0.25">
      <c r="B85" s="148" t="s">
        <v>436</v>
      </c>
      <c r="C85" s="148" t="s">
        <v>249</v>
      </c>
      <c r="D85" s="148" t="s">
        <v>183</v>
      </c>
      <c r="E85" s="148" t="s">
        <v>105</v>
      </c>
      <c r="F85" s="214">
        <v>20</v>
      </c>
      <c r="G85" s="148" t="s">
        <v>116</v>
      </c>
      <c r="H85" s="191">
        <v>42826</v>
      </c>
      <c r="I85" s="148">
        <v>4.84</v>
      </c>
      <c r="J85" s="148" t="s">
        <v>175</v>
      </c>
      <c r="K85" s="148">
        <v>25</v>
      </c>
      <c r="L85" s="148"/>
    </row>
    <row r="86" spans="2:12" ht="24" x14ac:dyDescent="0.25">
      <c r="B86" s="148" t="s">
        <v>198</v>
      </c>
      <c r="C86" s="148" t="s">
        <v>249</v>
      </c>
      <c r="D86" s="148" t="s">
        <v>183</v>
      </c>
      <c r="E86" s="148" t="s">
        <v>105</v>
      </c>
      <c r="F86" s="214">
        <v>20</v>
      </c>
      <c r="G86" s="148" t="s">
        <v>116</v>
      </c>
      <c r="H86" s="191">
        <v>42795</v>
      </c>
      <c r="I86" s="148">
        <v>4.76</v>
      </c>
      <c r="J86" s="148" t="s">
        <v>144</v>
      </c>
      <c r="K86" s="148">
        <v>25</v>
      </c>
      <c r="L86" s="148"/>
    </row>
    <row r="87" spans="2:12" ht="24" x14ac:dyDescent="0.25">
      <c r="B87" s="148" t="s">
        <v>199</v>
      </c>
      <c r="C87" s="148" t="s">
        <v>249</v>
      </c>
      <c r="D87" s="148" t="s">
        <v>183</v>
      </c>
      <c r="E87" s="148" t="s">
        <v>105</v>
      </c>
      <c r="F87" s="214">
        <v>20</v>
      </c>
      <c r="G87" s="148" t="s">
        <v>116</v>
      </c>
      <c r="H87" s="191">
        <v>42795</v>
      </c>
      <c r="I87" s="148">
        <v>4.8600000000000003</v>
      </c>
      <c r="J87" s="148" t="s">
        <v>144</v>
      </c>
      <c r="K87" s="148">
        <v>25</v>
      </c>
      <c r="L87" s="148"/>
    </row>
    <row r="88" spans="2:12" ht="24" x14ac:dyDescent="0.25">
      <c r="B88" s="148" t="s">
        <v>200</v>
      </c>
      <c r="C88" s="148" t="s">
        <v>249</v>
      </c>
      <c r="D88" s="148" t="s">
        <v>183</v>
      </c>
      <c r="E88" s="148" t="s">
        <v>105</v>
      </c>
      <c r="F88" s="214">
        <v>20</v>
      </c>
      <c r="G88" s="148" t="s">
        <v>116</v>
      </c>
      <c r="H88" s="191">
        <v>42979</v>
      </c>
      <c r="I88" s="148">
        <v>4.76</v>
      </c>
      <c r="J88" s="148" t="s">
        <v>201</v>
      </c>
      <c r="K88" s="148">
        <v>25</v>
      </c>
      <c r="L88" s="148"/>
    </row>
    <row r="89" spans="2:12" ht="24" x14ac:dyDescent="0.25">
      <c r="B89" s="148" t="s">
        <v>202</v>
      </c>
      <c r="C89" s="148" t="s">
        <v>249</v>
      </c>
      <c r="D89" s="148" t="s">
        <v>183</v>
      </c>
      <c r="E89" s="148" t="s">
        <v>105</v>
      </c>
      <c r="F89" s="214">
        <v>20</v>
      </c>
      <c r="G89" s="148" t="s">
        <v>116</v>
      </c>
      <c r="H89" s="191">
        <v>43040</v>
      </c>
      <c r="I89" s="148">
        <v>5.05</v>
      </c>
      <c r="J89" s="148" t="s">
        <v>175</v>
      </c>
      <c r="K89" s="148">
        <v>25</v>
      </c>
      <c r="L89" s="148"/>
    </row>
    <row r="90" spans="2:12" ht="24" x14ac:dyDescent="0.25">
      <c r="B90" s="148" t="s">
        <v>203</v>
      </c>
      <c r="C90" s="148" t="s">
        <v>249</v>
      </c>
      <c r="D90" s="148" t="s">
        <v>183</v>
      </c>
      <c r="E90" s="148" t="s">
        <v>105</v>
      </c>
      <c r="F90" s="214">
        <v>20</v>
      </c>
      <c r="G90" s="148" t="s">
        <v>116</v>
      </c>
      <c r="H90" s="191">
        <v>43040</v>
      </c>
      <c r="I90" s="148">
        <v>4.84</v>
      </c>
      <c r="J90" s="148" t="s">
        <v>175</v>
      </c>
      <c r="K90" s="148">
        <v>25</v>
      </c>
      <c r="L90" s="148"/>
    </row>
    <row r="91" spans="2:12" ht="24" x14ac:dyDescent="0.25">
      <c r="B91" s="148" t="s">
        <v>204</v>
      </c>
      <c r="C91" s="148" t="s">
        <v>249</v>
      </c>
      <c r="D91" s="148" t="s">
        <v>183</v>
      </c>
      <c r="E91" s="148" t="s">
        <v>105</v>
      </c>
      <c r="F91" s="214">
        <v>20</v>
      </c>
      <c r="G91" s="148" t="s">
        <v>116</v>
      </c>
      <c r="H91" s="191">
        <v>43009</v>
      </c>
      <c r="I91" s="148">
        <v>4.8499999999999996</v>
      </c>
      <c r="J91" s="148" t="s">
        <v>175</v>
      </c>
      <c r="K91" s="148">
        <v>25</v>
      </c>
      <c r="L91" s="148"/>
    </row>
    <row r="92" spans="2:12" ht="24" x14ac:dyDescent="0.25">
      <c r="B92" s="148" t="s">
        <v>205</v>
      </c>
      <c r="C92" s="148" t="s">
        <v>249</v>
      </c>
      <c r="D92" s="148" t="s">
        <v>183</v>
      </c>
      <c r="E92" s="148" t="s">
        <v>105</v>
      </c>
      <c r="F92" s="214">
        <v>100</v>
      </c>
      <c r="G92" s="148" t="s">
        <v>114</v>
      </c>
      <c r="H92" s="191">
        <v>43040</v>
      </c>
      <c r="I92" s="148">
        <v>4.66</v>
      </c>
      <c r="J92" s="148" t="s">
        <v>206</v>
      </c>
      <c r="K92" s="148">
        <v>25</v>
      </c>
      <c r="L92" s="148"/>
    </row>
    <row r="93" spans="2:12" ht="24" x14ac:dyDescent="0.25">
      <c r="B93" s="148" t="s">
        <v>207</v>
      </c>
      <c r="C93" s="148" t="s">
        <v>370</v>
      </c>
      <c r="D93" s="148" t="s">
        <v>183</v>
      </c>
      <c r="E93" s="148" t="s">
        <v>105</v>
      </c>
      <c r="F93" s="214">
        <v>50</v>
      </c>
      <c r="G93" s="148" t="s">
        <v>116</v>
      </c>
      <c r="H93" s="191">
        <v>42736</v>
      </c>
      <c r="I93" s="148" t="s">
        <v>508</v>
      </c>
      <c r="J93" s="148" t="s">
        <v>117</v>
      </c>
      <c r="K93" s="148" t="s">
        <v>208</v>
      </c>
      <c r="L93" s="148"/>
    </row>
    <row r="94" spans="2:12" ht="36" x14ac:dyDescent="0.25">
      <c r="B94" s="148" t="s">
        <v>209</v>
      </c>
      <c r="C94" s="148" t="s">
        <v>370</v>
      </c>
      <c r="D94" s="148" t="s">
        <v>183</v>
      </c>
      <c r="E94" s="148" t="s">
        <v>105</v>
      </c>
      <c r="F94" s="214">
        <v>50</v>
      </c>
      <c r="G94" s="148" t="s">
        <v>116</v>
      </c>
      <c r="H94" s="191">
        <v>42856</v>
      </c>
      <c r="I94" s="148" t="s">
        <v>509</v>
      </c>
      <c r="J94" s="148" t="s">
        <v>117</v>
      </c>
      <c r="K94" s="148" t="s">
        <v>210</v>
      </c>
      <c r="L94" s="148"/>
    </row>
    <row r="95" spans="2:12" ht="24" x14ac:dyDescent="0.25">
      <c r="B95" s="148" t="s">
        <v>211</v>
      </c>
      <c r="C95" s="148" t="s">
        <v>249</v>
      </c>
      <c r="D95" s="148" t="s">
        <v>183</v>
      </c>
      <c r="E95" s="148" t="s">
        <v>105</v>
      </c>
      <c r="F95" s="214">
        <v>50</v>
      </c>
      <c r="G95" s="148" t="s">
        <v>116</v>
      </c>
      <c r="H95" s="191">
        <v>43070</v>
      </c>
      <c r="I95" s="148">
        <v>4.8</v>
      </c>
      <c r="J95" s="148" t="s">
        <v>206</v>
      </c>
      <c r="K95" s="148">
        <v>25</v>
      </c>
      <c r="L95" s="148"/>
    </row>
    <row r="96" spans="2:12" ht="24" x14ac:dyDescent="0.25">
      <c r="B96" s="148" t="s">
        <v>212</v>
      </c>
      <c r="C96" s="148" t="s">
        <v>249</v>
      </c>
      <c r="D96" s="148" t="s">
        <v>183</v>
      </c>
      <c r="E96" s="148" t="s">
        <v>105</v>
      </c>
      <c r="F96" s="214">
        <v>50</v>
      </c>
      <c r="G96" s="148" t="s">
        <v>114</v>
      </c>
      <c r="H96" s="191">
        <v>42979</v>
      </c>
      <c r="I96" s="148">
        <v>5.5949</v>
      </c>
      <c r="J96" s="148" t="s">
        <v>188</v>
      </c>
      <c r="K96" s="148">
        <v>25</v>
      </c>
      <c r="L96" s="148"/>
    </row>
    <row r="97" spans="2:12" ht="24" x14ac:dyDescent="0.25">
      <c r="B97" s="148" t="s">
        <v>213</v>
      </c>
      <c r="C97" s="148" t="s">
        <v>249</v>
      </c>
      <c r="D97" s="148" t="s">
        <v>183</v>
      </c>
      <c r="E97" s="148" t="s">
        <v>105</v>
      </c>
      <c r="F97" s="214">
        <v>60</v>
      </c>
      <c r="G97" s="148" t="s">
        <v>111</v>
      </c>
      <c r="H97" s="191">
        <v>43040</v>
      </c>
      <c r="I97" s="148">
        <v>5.07</v>
      </c>
      <c r="J97" s="148" t="s">
        <v>206</v>
      </c>
      <c r="K97" s="148">
        <v>25</v>
      </c>
      <c r="L97" s="148"/>
    </row>
    <row r="98" spans="2:12" ht="24" x14ac:dyDescent="0.25">
      <c r="B98" s="148" t="s">
        <v>214</v>
      </c>
      <c r="C98" s="148" t="s">
        <v>249</v>
      </c>
      <c r="D98" s="148" t="s">
        <v>183</v>
      </c>
      <c r="E98" s="148" t="s">
        <v>105</v>
      </c>
      <c r="F98" s="214">
        <v>10</v>
      </c>
      <c r="G98" s="148" t="s">
        <v>111</v>
      </c>
      <c r="H98" s="191">
        <v>41306</v>
      </c>
      <c r="I98" s="148">
        <v>8.69</v>
      </c>
      <c r="J98" s="148" t="s">
        <v>206</v>
      </c>
      <c r="K98" s="148">
        <v>25</v>
      </c>
      <c r="L98" s="148"/>
    </row>
    <row r="99" spans="2:12" ht="24" x14ac:dyDescent="0.25">
      <c r="B99" s="148" t="s">
        <v>215</v>
      </c>
      <c r="C99" s="148" t="s">
        <v>249</v>
      </c>
      <c r="D99" s="148" t="s">
        <v>183</v>
      </c>
      <c r="E99" s="148" t="s">
        <v>105</v>
      </c>
      <c r="F99" s="214">
        <v>10</v>
      </c>
      <c r="G99" s="148" t="s">
        <v>111</v>
      </c>
      <c r="H99" s="191">
        <v>41306</v>
      </c>
      <c r="I99" s="148">
        <v>8.48</v>
      </c>
      <c r="J99" s="148" t="s">
        <v>206</v>
      </c>
      <c r="K99" s="148">
        <v>25</v>
      </c>
      <c r="L99" s="148"/>
    </row>
    <row r="100" spans="2:12" ht="24" x14ac:dyDescent="0.25">
      <c r="B100" s="148" t="s">
        <v>216</v>
      </c>
      <c r="C100" s="148" t="s">
        <v>249</v>
      </c>
      <c r="D100" s="148" t="s">
        <v>183</v>
      </c>
      <c r="E100" s="148" t="s">
        <v>105</v>
      </c>
      <c r="F100" s="214">
        <v>5</v>
      </c>
      <c r="G100" s="148" t="s">
        <v>111</v>
      </c>
      <c r="H100" s="191">
        <v>42186</v>
      </c>
      <c r="I100" s="148">
        <v>6.45</v>
      </c>
      <c r="J100" s="148" t="s">
        <v>217</v>
      </c>
      <c r="K100" s="148">
        <v>25</v>
      </c>
      <c r="L100" s="148"/>
    </row>
    <row r="101" spans="2:12" ht="24" x14ac:dyDescent="0.25">
      <c r="B101" s="148" t="s">
        <v>218</v>
      </c>
      <c r="C101" s="148" t="s">
        <v>249</v>
      </c>
      <c r="D101" s="148" t="s">
        <v>183</v>
      </c>
      <c r="E101" s="148" t="s">
        <v>105</v>
      </c>
      <c r="F101" s="214">
        <v>5</v>
      </c>
      <c r="G101" s="148" t="s">
        <v>111</v>
      </c>
      <c r="H101" s="191">
        <v>42186</v>
      </c>
      <c r="I101" s="148">
        <v>6.45</v>
      </c>
      <c r="J101" s="148" t="s">
        <v>217</v>
      </c>
      <c r="K101" s="148">
        <v>25</v>
      </c>
      <c r="L101" s="148"/>
    </row>
    <row r="102" spans="2:12" ht="24" x14ac:dyDescent="0.25">
      <c r="B102" s="148" t="s">
        <v>219</v>
      </c>
      <c r="C102" s="148" t="s">
        <v>249</v>
      </c>
      <c r="D102" s="148" t="s">
        <v>183</v>
      </c>
      <c r="E102" s="148" t="s">
        <v>105</v>
      </c>
      <c r="F102" s="214">
        <v>40</v>
      </c>
      <c r="G102" s="148" t="s">
        <v>107</v>
      </c>
      <c r="H102" s="191">
        <v>42795</v>
      </c>
      <c r="I102" s="148">
        <v>4.43</v>
      </c>
      <c r="J102" s="148" t="s">
        <v>169</v>
      </c>
      <c r="K102" s="148">
        <v>25</v>
      </c>
      <c r="L102" s="148"/>
    </row>
    <row r="103" spans="2:12" ht="36" x14ac:dyDescent="0.25">
      <c r="B103" s="148" t="s">
        <v>220</v>
      </c>
      <c r="C103" s="148" t="s">
        <v>370</v>
      </c>
      <c r="D103" s="148" t="s">
        <v>183</v>
      </c>
      <c r="E103" s="148" t="s">
        <v>105</v>
      </c>
      <c r="F103" s="214">
        <v>20</v>
      </c>
      <c r="G103" s="148" t="s">
        <v>116</v>
      </c>
      <c r="H103" s="191">
        <v>43070</v>
      </c>
      <c r="I103" s="148" t="s">
        <v>510</v>
      </c>
      <c r="J103" s="148" t="s">
        <v>117</v>
      </c>
      <c r="K103" s="148">
        <v>10</v>
      </c>
      <c r="L103" s="148"/>
    </row>
    <row r="104" spans="2:12" ht="36" x14ac:dyDescent="0.25">
      <c r="B104" s="148" t="s">
        <v>221</v>
      </c>
      <c r="C104" s="148" t="s">
        <v>370</v>
      </c>
      <c r="D104" s="148" t="s">
        <v>183</v>
      </c>
      <c r="E104" s="148" t="s">
        <v>105</v>
      </c>
      <c r="F104" s="214">
        <v>20</v>
      </c>
      <c r="G104" s="148" t="s">
        <v>116</v>
      </c>
      <c r="H104" s="191">
        <v>43160</v>
      </c>
      <c r="I104" s="148" t="s">
        <v>511</v>
      </c>
      <c r="J104" s="148" t="s">
        <v>117</v>
      </c>
      <c r="K104" s="148">
        <v>10</v>
      </c>
      <c r="L104" s="148"/>
    </row>
    <row r="105" spans="2:12" ht="36" x14ac:dyDescent="0.25">
      <c r="B105" s="148" t="s">
        <v>222</v>
      </c>
      <c r="C105" s="148" t="s">
        <v>370</v>
      </c>
      <c r="D105" s="148" t="s">
        <v>183</v>
      </c>
      <c r="E105" s="148" t="s">
        <v>105</v>
      </c>
      <c r="F105" s="214">
        <v>20</v>
      </c>
      <c r="G105" s="148" t="s">
        <v>116</v>
      </c>
      <c r="H105" s="191">
        <v>43160</v>
      </c>
      <c r="I105" s="148" t="s">
        <v>512</v>
      </c>
      <c r="J105" s="148" t="s">
        <v>117</v>
      </c>
      <c r="K105" s="148">
        <v>10</v>
      </c>
      <c r="L105" s="148"/>
    </row>
    <row r="106" spans="2:12" ht="24" x14ac:dyDescent="0.25">
      <c r="B106" s="148" t="s">
        <v>223</v>
      </c>
      <c r="C106" s="148" t="s">
        <v>249</v>
      </c>
      <c r="D106" s="148" t="s">
        <v>183</v>
      </c>
      <c r="E106" s="148" t="s">
        <v>105</v>
      </c>
      <c r="F106" s="214">
        <v>50</v>
      </c>
      <c r="G106" s="148" t="s">
        <v>111</v>
      </c>
      <c r="H106" s="191">
        <v>43556</v>
      </c>
      <c r="I106" s="148">
        <v>2.4900000000000002</v>
      </c>
      <c r="J106" s="148" t="s">
        <v>169</v>
      </c>
      <c r="K106" s="148">
        <v>25</v>
      </c>
      <c r="L106" s="148"/>
    </row>
    <row r="107" spans="2:12" ht="24" x14ac:dyDescent="0.25">
      <c r="B107" s="148" t="s">
        <v>224</v>
      </c>
      <c r="C107" s="148" t="s">
        <v>249</v>
      </c>
      <c r="D107" s="148" t="s">
        <v>183</v>
      </c>
      <c r="E107" s="148" t="s">
        <v>105</v>
      </c>
      <c r="F107" s="214">
        <v>100</v>
      </c>
      <c r="G107" s="148" t="s">
        <v>445</v>
      </c>
      <c r="H107" s="191">
        <v>43709</v>
      </c>
      <c r="I107" s="148">
        <v>3.47</v>
      </c>
      <c r="J107" s="148" t="s">
        <v>225</v>
      </c>
      <c r="K107" s="148">
        <v>25</v>
      </c>
      <c r="L107" s="148"/>
    </row>
    <row r="108" spans="2:12" ht="24" x14ac:dyDescent="0.25">
      <c r="B108" s="148" t="s">
        <v>518</v>
      </c>
      <c r="C108" s="148" t="s">
        <v>249</v>
      </c>
      <c r="D108" s="148" t="s">
        <v>183</v>
      </c>
      <c r="E108" s="148" t="s">
        <v>105</v>
      </c>
      <c r="F108" s="214">
        <v>40</v>
      </c>
      <c r="G108" s="148" t="s">
        <v>116</v>
      </c>
      <c r="H108" s="191">
        <v>43769.714285714283</v>
      </c>
      <c r="I108" s="148">
        <v>3.22</v>
      </c>
      <c r="J108" s="148" t="s">
        <v>226</v>
      </c>
      <c r="K108" s="148">
        <v>25</v>
      </c>
      <c r="L108" s="148"/>
    </row>
    <row r="109" spans="2:12" ht="24" x14ac:dyDescent="0.25">
      <c r="B109" s="148" t="s">
        <v>227</v>
      </c>
      <c r="C109" s="148" t="s">
        <v>249</v>
      </c>
      <c r="D109" s="148" t="s">
        <v>183</v>
      </c>
      <c r="E109" s="148" t="s">
        <v>105</v>
      </c>
      <c r="F109" s="214">
        <v>250</v>
      </c>
      <c r="G109" s="148" t="s">
        <v>446</v>
      </c>
      <c r="H109" s="191">
        <v>43739</v>
      </c>
      <c r="I109" s="148">
        <v>2.72</v>
      </c>
      <c r="J109" s="148" t="s">
        <v>110</v>
      </c>
      <c r="K109" s="148">
        <v>25</v>
      </c>
      <c r="L109" s="148"/>
    </row>
    <row r="110" spans="2:12" ht="24" x14ac:dyDescent="0.25">
      <c r="B110" s="148" t="s">
        <v>437</v>
      </c>
      <c r="C110" s="148" t="s">
        <v>249</v>
      </c>
      <c r="D110" s="148" t="s">
        <v>183</v>
      </c>
      <c r="E110" s="148" t="s">
        <v>105</v>
      </c>
      <c r="F110" s="214">
        <v>300</v>
      </c>
      <c r="G110" s="148" t="s">
        <v>446</v>
      </c>
      <c r="H110" s="191">
        <v>44514</v>
      </c>
      <c r="I110" s="148">
        <v>2.75</v>
      </c>
      <c r="J110" s="148" t="s">
        <v>110</v>
      </c>
      <c r="K110" s="148">
        <v>25</v>
      </c>
      <c r="L110" s="148"/>
    </row>
    <row r="111" spans="2:12" ht="24" x14ac:dyDescent="0.25">
      <c r="B111" s="148" t="s">
        <v>229</v>
      </c>
      <c r="C111" s="148" t="s">
        <v>249</v>
      </c>
      <c r="D111" s="148" t="s">
        <v>183</v>
      </c>
      <c r="E111" s="148" t="s">
        <v>105</v>
      </c>
      <c r="F111" s="214">
        <v>110</v>
      </c>
      <c r="G111" s="148" t="s">
        <v>111</v>
      </c>
      <c r="H111" s="191">
        <v>44250.090909090912</v>
      </c>
      <c r="I111" s="148">
        <v>2.4900000000000002</v>
      </c>
      <c r="J111" s="148" t="s">
        <v>169</v>
      </c>
      <c r="K111" s="148">
        <v>25</v>
      </c>
      <c r="L111" s="148"/>
    </row>
    <row r="112" spans="2:12" ht="24" x14ac:dyDescent="0.25">
      <c r="B112" s="148" t="s">
        <v>142</v>
      </c>
      <c r="C112" s="148" t="s">
        <v>249</v>
      </c>
      <c r="D112" s="148" t="s">
        <v>183</v>
      </c>
      <c r="E112" s="148" t="s">
        <v>105</v>
      </c>
      <c r="F112" s="214">
        <v>105</v>
      </c>
      <c r="G112" s="148" t="s">
        <v>107</v>
      </c>
      <c r="H112" s="191">
        <v>44296</v>
      </c>
      <c r="I112" s="148">
        <v>2.68</v>
      </c>
      <c r="J112" s="148" t="s">
        <v>142</v>
      </c>
      <c r="K112" s="148">
        <v>25</v>
      </c>
      <c r="L112" s="148"/>
    </row>
    <row r="113" spans="2:12" ht="24" x14ac:dyDescent="0.25">
      <c r="B113" s="148" t="s">
        <v>230</v>
      </c>
      <c r="C113" s="148" t="s">
        <v>249</v>
      </c>
      <c r="D113" s="148" t="s">
        <v>183</v>
      </c>
      <c r="E113" s="148" t="s">
        <v>105</v>
      </c>
      <c r="F113" s="214">
        <v>300</v>
      </c>
      <c r="G113" s="148" t="s">
        <v>111</v>
      </c>
      <c r="H113" s="191">
        <v>44531</v>
      </c>
      <c r="I113" s="148">
        <v>2.54</v>
      </c>
      <c r="J113" s="148" t="s">
        <v>169</v>
      </c>
      <c r="K113" s="148">
        <v>25</v>
      </c>
      <c r="L113" s="148"/>
    </row>
    <row r="114" spans="2:12" ht="24" x14ac:dyDescent="0.25">
      <c r="B114" s="148" t="s">
        <v>438</v>
      </c>
      <c r="C114" s="148" t="s">
        <v>249</v>
      </c>
      <c r="D114" s="148" t="s">
        <v>183</v>
      </c>
      <c r="E114" s="148" t="s">
        <v>105</v>
      </c>
      <c r="F114" s="214">
        <v>200</v>
      </c>
      <c r="G114" s="148" t="s">
        <v>111</v>
      </c>
      <c r="H114" s="191" t="s">
        <v>598</v>
      </c>
      <c r="I114" s="148">
        <v>2.5099999999999998</v>
      </c>
      <c r="J114" s="148" t="s">
        <v>169</v>
      </c>
      <c r="K114" s="148">
        <v>25</v>
      </c>
      <c r="L114" s="148"/>
    </row>
    <row r="115" spans="2:12" ht="24" x14ac:dyDescent="0.25">
      <c r="B115" s="148" t="s">
        <v>231</v>
      </c>
      <c r="C115" s="148" t="s">
        <v>249</v>
      </c>
      <c r="D115" s="148" t="s">
        <v>183</v>
      </c>
      <c r="E115" s="148" t="s">
        <v>105</v>
      </c>
      <c r="F115" s="214">
        <v>100</v>
      </c>
      <c r="G115" s="148" t="s">
        <v>111</v>
      </c>
      <c r="H115" s="191">
        <v>45375</v>
      </c>
      <c r="I115" s="148">
        <v>2.37</v>
      </c>
      <c r="J115" s="148" t="s">
        <v>169</v>
      </c>
      <c r="K115" s="148">
        <v>25</v>
      </c>
      <c r="L115" s="148"/>
    </row>
    <row r="116" spans="2:12" ht="24" x14ac:dyDescent="0.25">
      <c r="B116" s="148" t="s">
        <v>473</v>
      </c>
      <c r="C116" s="148" t="s">
        <v>249</v>
      </c>
      <c r="D116" s="148" t="s">
        <v>183</v>
      </c>
      <c r="E116" s="148" t="s">
        <v>105</v>
      </c>
      <c r="F116" s="214">
        <v>30</v>
      </c>
      <c r="G116" s="148" t="s">
        <v>114</v>
      </c>
      <c r="H116" s="191">
        <v>43055</v>
      </c>
      <c r="I116" s="148">
        <v>5.5949</v>
      </c>
      <c r="J116" s="148" t="s">
        <v>192</v>
      </c>
      <c r="K116" s="148">
        <v>25</v>
      </c>
      <c r="L116" s="148" t="s">
        <v>485</v>
      </c>
    </row>
    <row r="117" spans="2:12" ht="24" x14ac:dyDescent="0.25">
      <c r="B117" s="148" t="s">
        <v>474</v>
      </c>
      <c r="C117" s="148" t="s">
        <v>249</v>
      </c>
      <c r="D117" s="148" t="s">
        <v>183</v>
      </c>
      <c r="E117" s="148" t="s">
        <v>105</v>
      </c>
      <c r="F117" s="214">
        <v>15</v>
      </c>
      <c r="G117" s="148" t="s">
        <v>114</v>
      </c>
      <c r="H117" s="191">
        <v>42789</v>
      </c>
      <c r="I117" s="148">
        <v>5.7248999999999999</v>
      </c>
      <c r="J117" s="148" t="s">
        <v>192</v>
      </c>
      <c r="K117" s="148">
        <v>25</v>
      </c>
      <c r="L117" s="148" t="s">
        <v>485</v>
      </c>
    </row>
    <row r="118" spans="2:12" ht="24" x14ac:dyDescent="0.25">
      <c r="B118" s="148" t="s">
        <v>475</v>
      </c>
      <c r="C118" s="148" t="s">
        <v>249</v>
      </c>
      <c r="D118" s="148" t="s">
        <v>183</v>
      </c>
      <c r="E118" s="148" t="s">
        <v>105</v>
      </c>
      <c r="F118" s="214">
        <v>15</v>
      </c>
      <c r="G118" s="148" t="s">
        <v>114</v>
      </c>
      <c r="H118" s="191">
        <v>42819</v>
      </c>
      <c r="I118" s="148">
        <v>5.7248999999999999</v>
      </c>
      <c r="J118" s="148" t="s">
        <v>192</v>
      </c>
      <c r="K118" s="148">
        <v>25</v>
      </c>
      <c r="L118" s="148" t="s">
        <v>485</v>
      </c>
    </row>
    <row r="119" spans="2:12" ht="24" x14ac:dyDescent="0.25">
      <c r="B119" s="148" t="s">
        <v>476</v>
      </c>
      <c r="C119" s="148" t="s">
        <v>249</v>
      </c>
      <c r="D119" s="148" t="s">
        <v>183</v>
      </c>
      <c r="E119" s="148" t="s">
        <v>105</v>
      </c>
      <c r="F119" s="214">
        <v>15</v>
      </c>
      <c r="G119" s="148" t="s">
        <v>114</v>
      </c>
      <c r="H119" s="191">
        <v>42814</v>
      </c>
      <c r="I119" s="148">
        <v>5.7248999999999999</v>
      </c>
      <c r="J119" s="148" t="s">
        <v>192</v>
      </c>
      <c r="K119" s="148">
        <v>25</v>
      </c>
      <c r="L119" s="148" t="s">
        <v>485</v>
      </c>
    </row>
    <row r="120" spans="2:12" ht="24" x14ac:dyDescent="0.25">
      <c r="B120" s="148" t="s">
        <v>477</v>
      </c>
      <c r="C120" s="148" t="s">
        <v>249</v>
      </c>
      <c r="D120" s="148" t="s">
        <v>183</v>
      </c>
      <c r="E120" s="148" t="s">
        <v>105</v>
      </c>
      <c r="F120" s="214">
        <v>15</v>
      </c>
      <c r="G120" s="148" t="s">
        <v>114</v>
      </c>
      <c r="H120" s="191">
        <v>42804</v>
      </c>
      <c r="I120" s="148">
        <v>5.7248999999999999</v>
      </c>
      <c r="J120" s="148" t="s">
        <v>192</v>
      </c>
      <c r="K120" s="148">
        <v>25</v>
      </c>
      <c r="L120" s="148" t="s">
        <v>485</v>
      </c>
    </row>
    <row r="121" spans="2:12" ht="24" x14ac:dyDescent="0.25">
      <c r="B121" s="148" t="s">
        <v>478</v>
      </c>
      <c r="C121" s="148" t="s">
        <v>249</v>
      </c>
      <c r="D121" s="148" t="s">
        <v>183</v>
      </c>
      <c r="E121" s="148" t="s">
        <v>105</v>
      </c>
      <c r="F121" s="214">
        <v>15</v>
      </c>
      <c r="G121" s="148" t="s">
        <v>114</v>
      </c>
      <c r="H121" s="191">
        <v>42801</v>
      </c>
      <c r="I121" s="148">
        <v>5.7248999999999999</v>
      </c>
      <c r="J121" s="148" t="s">
        <v>192</v>
      </c>
      <c r="K121" s="148">
        <v>25</v>
      </c>
      <c r="L121" s="148" t="s">
        <v>485</v>
      </c>
    </row>
    <row r="122" spans="2:12" ht="24" x14ac:dyDescent="0.25">
      <c r="B122" s="148" t="s">
        <v>479</v>
      </c>
      <c r="C122" s="148" t="s">
        <v>249</v>
      </c>
      <c r="D122" s="148" t="s">
        <v>183</v>
      </c>
      <c r="E122" s="148" t="s">
        <v>105</v>
      </c>
      <c r="F122" s="214">
        <v>45</v>
      </c>
      <c r="G122" s="148" t="s">
        <v>114</v>
      </c>
      <c r="H122" s="191">
        <v>42930</v>
      </c>
      <c r="I122" s="148">
        <v>5.5949</v>
      </c>
      <c r="J122" s="148" t="s">
        <v>188</v>
      </c>
      <c r="K122" s="148">
        <v>25</v>
      </c>
      <c r="L122" s="148" t="s">
        <v>485</v>
      </c>
    </row>
    <row r="123" spans="2:12" ht="24" x14ac:dyDescent="0.25">
      <c r="B123" s="148" t="s">
        <v>480</v>
      </c>
      <c r="C123" s="148" t="s">
        <v>249</v>
      </c>
      <c r="D123" s="148" t="s">
        <v>183</v>
      </c>
      <c r="E123" s="148" t="s">
        <v>105</v>
      </c>
      <c r="F123" s="214">
        <v>50</v>
      </c>
      <c r="G123" s="148" t="s">
        <v>114</v>
      </c>
      <c r="H123" s="191">
        <v>42993</v>
      </c>
      <c r="I123" s="148">
        <v>5.5949</v>
      </c>
      <c r="J123" s="148" t="s">
        <v>192</v>
      </c>
      <c r="K123" s="148">
        <v>25</v>
      </c>
      <c r="L123" s="148" t="s">
        <v>485</v>
      </c>
    </row>
    <row r="124" spans="2:12" ht="24" x14ac:dyDescent="0.25">
      <c r="B124" s="148" t="s">
        <v>481</v>
      </c>
      <c r="C124" s="148" t="s">
        <v>249</v>
      </c>
      <c r="D124" s="148" t="s">
        <v>183</v>
      </c>
      <c r="E124" s="148" t="s">
        <v>105</v>
      </c>
      <c r="F124" s="214">
        <v>15</v>
      </c>
      <c r="G124" s="148" t="s">
        <v>114</v>
      </c>
      <c r="H124" s="191">
        <v>42796</v>
      </c>
      <c r="I124" s="148">
        <v>5.7248999999999999</v>
      </c>
      <c r="J124" s="148" t="s">
        <v>192</v>
      </c>
      <c r="K124" s="148">
        <v>25</v>
      </c>
      <c r="L124" s="148" t="s">
        <v>485</v>
      </c>
    </row>
    <row r="125" spans="2:12" ht="24" x14ac:dyDescent="0.25">
      <c r="B125" s="148" t="s">
        <v>482</v>
      </c>
      <c r="C125" s="148" t="s">
        <v>249</v>
      </c>
      <c r="D125" s="148" t="s">
        <v>183</v>
      </c>
      <c r="E125" s="148" t="s">
        <v>105</v>
      </c>
      <c r="F125" s="214">
        <v>15</v>
      </c>
      <c r="G125" s="148" t="s">
        <v>114</v>
      </c>
      <c r="H125" s="191">
        <v>42956</v>
      </c>
      <c r="I125" s="148">
        <v>5.7248999999999999</v>
      </c>
      <c r="J125" s="148" t="s">
        <v>192</v>
      </c>
      <c r="K125" s="148">
        <v>25</v>
      </c>
      <c r="L125" s="148" t="s">
        <v>485</v>
      </c>
    </row>
    <row r="126" spans="2:12" ht="24" x14ac:dyDescent="0.25">
      <c r="B126" s="148" t="s">
        <v>483</v>
      </c>
      <c r="C126" s="148" t="s">
        <v>249</v>
      </c>
      <c r="D126" s="148" t="s">
        <v>183</v>
      </c>
      <c r="E126" s="148" t="s">
        <v>105</v>
      </c>
      <c r="F126" s="214">
        <v>30</v>
      </c>
      <c r="G126" s="148" t="s">
        <v>114</v>
      </c>
      <c r="H126" s="191">
        <v>42922</v>
      </c>
      <c r="I126" s="148">
        <v>5.5949</v>
      </c>
      <c r="J126" s="148" t="s">
        <v>192</v>
      </c>
      <c r="K126" s="148">
        <v>25</v>
      </c>
      <c r="L126" s="148" t="s">
        <v>485</v>
      </c>
    </row>
    <row r="127" spans="2:12" ht="24" x14ac:dyDescent="0.25">
      <c r="B127" s="148" t="s">
        <v>351</v>
      </c>
      <c r="C127" s="148" t="s">
        <v>249</v>
      </c>
      <c r="D127" s="148" t="s">
        <v>183</v>
      </c>
      <c r="E127" s="148" t="s">
        <v>105</v>
      </c>
      <c r="F127" s="214">
        <v>400</v>
      </c>
      <c r="G127" s="148" t="s">
        <v>111</v>
      </c>
      <c r="H127" s="191">
        <v>45497</v>
      </c>
      <c r="I127" s="148">
        <v>2.1800000000000002</v>
      </c>
      <c r="J127" s="148" t="s">
        <v>169</v>
      </c>
      <c r="K127" s="148">
        <v>25</v>
      </c>
      <c r="L127" s="148"/>
    </row>
    <row r="128" spans="2:12" ht="24" x14ac:dyDescent="0.25">
      <c r="B128" s="148" t="s">
        <v>351</v>
      </c>
      <c r="C128" s="148" t="s">
        <v>249</v>
      </c>
      <c r="D128" s="148" t="s">
        <v>183</v>
      </c>
      <c r="E128" s="148" t="s">
        <v>105</v>
      </c>
      <c r="F128" s="214">
        <v>350</v>
      </c>
      <c r="G128" s="148" t="s">
        <v>111</v>
      </c>
      <c r="H128" s="191">
        <v>45566</v>
      </c>
      <c r="I128" s="148">
        <v>2.1800000000000002</v>
      </c>
      <c r="J128" s="148" t="s">
        <v>169</v>
      </c>
      <c r="K128" s="148">
        <v>25</v>
      </c>
      <c r="L128" s="148"/>
    </row>
    <row r="129" spans="2:12" ht="24" x14ac:dyDescent="0.25">
      <c r="B129" s="148" t="s">
        <v>351</v>
      </c>
      <c r="C129" s="148" t="s">
        <v>249</v>
      </c>
      <c r="D129" s="148" t="s">
        <v>183</v>
      </c>
      <c r="E129" s="148" t="s">
        <v>105</v>
      </c>
      <c r="F129" s="214">
        <v>225</v>
      </c>
      <c r="G129" s="148" t="s">
        <v>111</v>
      </c>
      <c r="H129" s="191" t="s">
        <v>599</v>
      </c>
      <c r="I129" s="148">
        <v>2.1800000000000002</v>
      </c>
      <c r="J129" s="148" t="s">
        <v>169</v>
      </c>
      <c r="K129" s="148">
        <v>25</v>
      </c>
      <c r="L129" s="148"/>
    </row>
    <row r="130" spans="2:12" ht="24" hidden="1" x14ac:dyDescent="0.25">
      <c r="B130" s="148" t="s">
        <v>231</v>
      </c>
      <c r="C130" s="148" t="s">
        <v>249</v>
      </c>
      <c r="D130" s="148" t="s">
        <v>183</v>
      </c>
      <c r="E130" s="148" t="s">
        <v>444</v>
      </c>
      <c r="F130" s="214">
        <v>300</v>
      </c>
      <c r="G130" s="148" t="s">
        <v>111</v>
      </c>
      <c r="H130" s="191" t="s">
        <v>560</v>
      </c>
      <c r="I130" s="148">
        <v>2.37</v>
      </c>
      <c r="J130" s="148" t="s">
        <v>169</v>
      </c>
      <c r="K130" s="148">
        <v>25</v>
      </c>
      <c r="L130" s="148"/>
    </row>
    <row r="131" spans="2:12" ht="24" hidden="1" x14ac:dyDescent="0.25">
      <c r="B131" s="148" t="s">
        <v>352</v>
      </c>
      <c r="C131" s="148" t="s">
        <v>249</v>
      </c>
      <c r="D131" s="148" t="s">
        <v>183</v>
      </c>
      <c r="E131" s="148" t="s">
        <v>444</v>
      </c>
      <c r="F131" s="214">
        <v>100</v>
      </c>
      <c r="G131" s="148" t="s">
        <v>111</v>
      </c>
      <c r="H131" s="191" t="s">
        <v>559</v>
      </c>
      <c r="I131" s="148">
        <v>2.33</v>
      </c>
      <c r="J131" s="148" t="s">
        <v>352</v>
      </c>
      <c r="K131" s="148">
        <v>25</v>
      </c>
      <c r="L131" s="148"/>
    </row>
    <row r="132" spans="2:12" x14ac:dyDescent="0.25">
      <c r="B132" s="148" t="s">
        <v>561</v>
      </c>
      <c r="C132" s="148" t="s">
        <v>370</v>
      </c>
      <c r="D132" s="148" t="s">
        <v>183</v>
      </c>
      <c r="E132" s="148" t="s">
        <v>105</v>
      </c>
      <c r="F132" s="214">
        <v>150</v>
      </c>
      <c r="G132" s="148" t="s">
        <v>108</v>
      </c>
      <c r="H132" s="191" t="s">
        <v>560</v>
      </c>
      <c r="I132" s="148" t="s">
        <v>520</v>
      </c>
      <c r="J132" s="148" t="s">
        <v>523</v>
      </c>
      <c r="K132" s="148">
        <v>25</v>
      </c>
      <c r="L132" s="148"/>
    </row>
    <row r="133" spans="2:12" hidden="1" x14ac:dyDescent="0.25">
      <c r="B133" s="148" t="s">
        <v>561</v>
      </c>
      <c r="C133" s="148" t="s">
        <v>370</v>
      </c>
      <c r="D133" s="148" t="s">
        <v>183</v>
      </c>
      <c r="E133" s="148" t="s">
        <v>444</v>
      </c>
      <c r="F133" s="214">
        <v>50</v>
      </c>
      <c r="G133" s="148" t="s">
        <v>108</v>
      </c>
      <c r="H133" s="191" t="s">
        <v>558</v>
      </c>
      <c r="I133" s="148" t="s">
        <v>520</v>
      </c>
      <c r="J133" s="148" t="s">
        <v>523</v>
      </c>
      <c r="K133" s="148">
        <v>25</v>
      </c>
      <c r="L133" s="148"/>
    </row>
    <row r="134" spans="2:12" ht="24" hidden="1" x14ac:dyDescent="0.25">
      <c r="B134" s="148" t="s">
        <v>371</v>
      </c>
      <c r="C134" s="148" t="s">
        <v>250</v>
      </c>
      <c r="D134" s="148" t="s">
        <v>104</v>
      </c>
      <c r="E134" s="148" t="s">
        <v>228</v>
      </c>
      <c r="F134" s="214">
        <v>3.4649999999999999</v>
      </c>
      <c r="G134" s="148" t="s">
        <v>116</v>
      </c>
      <c r="H134" s="191" t="s">
        <v>559</v>
      </c>
      <c r="I134" s="148" t="s">
        <v>455</v>
      </c>
      <c r="J134" s="148" t="s">
        <v>169</v>
      </c>
      <c r="K134" s="148">
        <v>25</v>
      </c>
      <c r="L134" s="148"/>
    </row>
    <row r="135" spans="2:12" ht="24" x14ac:dyDescent="0.25">
      <c r="B135" s="148" t="s">
        <v>371</v>
      </c>
      <c r="C135" s="148" t="s">
        <v>250</v>
      </c>
      <c r="D135" s="148" t="s">
        <v>104</v>
      </c>
      <c r="E135" s="148" t="s">
        <v>105</v>
      </c>
      <c r="F135" s="214">
        <v>318.8</v>
      </c>
      <c r="G135" s="148" t="s">
        <v>116</v>
      </c>
      <c r="H135" s="191" t="s">
        <v>452</v>
      </c>
      <c r="I135" s="148" t="s">
        <v>455</v>
      </c>
      <c r="J135" s="148" t="s">
        <v>169</v>
      </c>
      <c r="K135" s="148">
        <v>25</v>
      </c>
      <c r="L135" s="148"/>
    </row>
    <row r="136" spans="2:12" ht="24" x14ac:dyDescent="0.25">
      <c r="B136" s="148" t="s">
        <v>371</v>
      </c>
      <c r="C136" s="148" t="s">
        <v>250</v>
      </c>
      <c r="D136" s="148" t="s">
        <v>183</v>
      </c>
      <c r="E136" s="148" t="s">
        <v>105</v>
      </c>
      <c r="F136" s="214">
        <v>81</v>
      </c>
      <c r="G136" s="148" t="s">
        <v>116</v>
      </c>
      <c r="H136" s="191" t="s">
        <v>599</v>
      </c>
      <c r="I136" s="148" t="s">
        <v>455</v>
      </c>
      <c r="J136" s="148" t="s">
        <v>169</v>
      </c>
      <c r="K136" s="148">
        <v>25</v>
      </c>
      <c r="L136" s="148"/>
    </row>
    <row r="137" spans="2:12" ht="36" hidden="1" x14ac:dyDescent="0.25">
      <c r="B137" s="148" t="s">
        <v>372</v>
      </c>
      <c r="C137" s="148" t="s">
        <v>250</v>
      </c>
      <c r="D137" s="148" t="s">
        <v>104</v>
      </c>
      <c r="E137" s="148" t="s">
        <v>228</v>
      </c>
      <c r="F137" s="214">
        <v>10.4</v>
      </c>
      <c r="G137" s="148" t="s">
        <v>116</v>
      </c>
      <c r="H137" s="191" t="s">
        <v>559</v>
      </c>
      <c r="I137" s="148" t="s">
        <v>456</v>
      </c>
      <c r="J137" s="148" t="s">
        <v>169</v>
      </c>
      <c r="K137" s="148">
        <v>25</v>
      </c>
      <c r="L137" s="148"/>
    </row>
    <row r="138" spans="2:12" ht="36" x14ac:dyDescent="0.25">
      <c r="B138" s="148" t="s">
        <v>372</v>
      </c>
      <c r="C138" s="148" t="s">
        <v>250</v>
      </c>
      <c r="D138" s="148" t="s">
        <v>104</v>
      </c>
      <c r="E138" s="148" t="s">
        <v>105</v>
      </c>
      <c r="F138" s="214">
        <v>174.9</v>
      </c>
      <c r="G138" s="148" t="s">
        <v>116</v>
      </c>
      <c r="H138" s="191" t="s">
        <v>450</v>
      </c>
      <c r="I138" s="196" t="s">
        <v>456</v>
      </c>
      <c r="J138" s="148" t="s">
        <v>169</v>
      </c>
      <c r="K138" s="148">
        <v>25</v>
      </c>
      <c r="L138" s="148"/>
    </row>
    <row r="139" spans="2:12" ht="36" hidden="1" x14ac:dyDescent="0.25">
      <c r="B139" s="148" t="s">
        <v>372</v>
      </c>
      <c r="C139" s="148" t="s">
        <v>250</v>
      </c>
      <c r="D139" s="148" t="s">
        <v>104</v>
      </c>
      <c r="E139" s="148" t="s">
        <v>444</v>
      </c>
      <c r="F139" s="214">
        <v>125.1</v>
      </c>
      <c r="G139" s="148" t="s">
        <v>116</v>
      </c>
      <c r="H139" s="191" t="s">
        <v>600</v>
      </c>
      <c r="I139" s="196" t="s">
        <v>456</v>
      </c>
      <c r="J139" s="148" t="s">
        <v>169</v>
      </c>
      <c r="K139" s="148">
        <v>25</v>
      </c>
      <c r="L139" s="148"/>
    </row>
    <row r="140" spans="2:12" ht="36" x14ac:dyDescent="0.25">
      <c r="B140" s="148" t="s">
        <v>372</v>
      </c>
      <c r="C140" s="148" t="s">
        <v>250</v>
      </c>
      <c r="D140" s="148" t="s">
        <v>104</v>
      </c>
      <c r="E140" s="148" t="s">
        <v>105</v>
      </c>
      <c r="F140" s="214">
        <v>291.08</v>
      </c>
      <c r="G140" s="148" t="s">
        <v>116</v>
      </c>
      <c r="H140" s="191" t="s">
        <v>453</v>
      </c>
      <c r="I140" s="196" t="s">
        <v>456</v>
      </c>
      <c r="J140" s="148" t="s">
        <v>169</v>
      </c>
      <c r="K140" s="148">
        <v>25</v>
      </c>
      <c r="L140" s="148"/>
    </row>
    <row r="141" spans="2:12" ht="36" hidden="1" x14ac:dyDescent="0.25">
      <c r="B141" s="148" t="s">
        <v>372</v>
      </c>
      <c r="C141" s="148" t="s">
        <v>250</v>
      </c>
      <c r="D141" s="148" t="s">
        <v>104</v>
      </c>
      <c r="E141" s="148" t="s">
        <v>228</v>
      </c>
      <c r="F141" s="214">
        <v>300</v>
      </c>
      <c r="G141" s="148" t="s">
        <v>108</v>
      </c>
      <c r="H141" s="191" t="s">
        <v>559</v>
      </c>
      <c r="I141" s="196" t="s">
        <v>456</v>
      </c>
      <c r="J141" s="148" t="s">
        <v>169</v>
      </c>
      <c r="K141" s="148">
        <v>25</v>
      </c>
      <c r="L141" s="148"/>
    </row>
    <row r="142" spans="2:12" ht="36" x14ac:dyDescent="0.25">
      <c r="B142" s="148" t="s">
        <v>372</v>
      </c>
      <c r="C142" s="148" t="s">
        <v>250</v>
      </c>
      <c r="D142" s="148" t="s">
        <v>183</v>
      </c>
      <c r="E142" s="148" t="s">
        <v>105</v>
      </c>
      <c r="F142" s="214">
        <v>380</v>
      </c>
      <c r="G142" s="148" t="s">
        <v>111</v>
      </c>
      <c r="H142" s="191" t="s">
        <v>451</v>
      </c>
      <c r="I142" s="196" t="s">
        <v>456</v>
      </c>
      <c r="J142" s="148" t="s">
        <v>169</v>
      </c>
      <c r="K142" s="148">
        <v>25</v>
      </c>
      <c r="L142" s="148"/>
    </row>
    <row r="143" spans="2:12" ht="36" x14ac:dyDescent="0.25">
      <c r="B143" s="148" t="s">
        <v>372</v>
      </c>
      <c r="C143" s="148" t="s">
        <v>250</v>
      </c>
      <c r="D143" s="148" t="s">
        <v>183</v>
      </c>
      <c r="E143" s="148" t="s">
        <v>105</v>
      </c>
      <c r="F143" s="214">
        <v>20</v>
      </c>
      <c r="G143" s="148" t="s">
        <v>111</v>
      </c>
      <c r="H143" s="191" t="s">
        <v>452</v>
      </c>
      <c r="I143" s="196" t="s">
        <v>456</v>
      </c>
      <c r="J143" s="148" t="s">
        <v>169</v>
      </c>
      <c r="K143" s="148">
        <v>25</v>
      </c>
      <c r="L143" s="148"/>
    </row>
    <row r="144" spans="2:12" x14ac:dyDescent="0.25">
      <c r="B144" s="148" t="s">
        <v>368</v>
      </c>
      <c r="C144" s="148" t="s">
        <v>370</v>
      </c>
      <c r="D144" s="148" t="s">
        <v>183</v>
      </c>
      <c r="E144" s="148" t="s">
        <v>105</v>
      </c>
      <c r="F144" s="214">
        <v>6.7</v>
      </c>
      <c r="G144" s="148" t="s">
        <v>107</v>
      </c>
      <c r="H144" s="191">
        <v>44593</v>
      </c>
      <c r="I144" s="148" t="s">
        <v>520</v>
      </c>
      <c r="J144" s="148" t="s">
        <v>523</v>
      </c>
      <c r="K144" s="148">
        <v>25</v>
      </c>
      <c r="L144" s="148"/>
    </row>
    <row r="145" spans="2:12" ht="24" x14ac:dyDescent="0.25">
      <c r="B145" s="148" t="s">
        <v>439</v>
      </c>
      <c r="C145" s="148" t="s">
        <v>370</v>
      </c>
      <c r="D145" s="148" t="s">
        <v>183</v>
      </c>
      <c r="E145" s="148" t="s">
        <v>105</v>
      </c>
      <c r="F145" s="214">
        <v>150</v>
      </c>
      <c r="G145" s="148" t="s">
        <v>446</v>
      </c>
      <c r="H145" s="191">
        <v>44618</v>
      </c>
      <c r="I145" s="148" t="s">
        <v>457</v>
      </c>
      <c r="J145" s="148" t="s">
        <v>461</v>
      </c>
      <c r="K145" s="148">
        <v>10</v>
      </c>
      <c r="L145" s="148"/>
    </row>
    <row r="146" spans="2:12" ht="24" x14ac:dyDescent="0.25">
      <c r="B146" s="148" t="s">
        <v>601</v>
      </c>
      <c r="C146" s="148" t="s">
        <v>249</v>
      </c>
      <c r="D146" s="148" t="s">
        <v>183</v>
      </c>
      <c r="E146" s="148" t="s">
        <v>105</v>
      </c>
      <c r="F146" s="214">
        <v>100</v>
      </c>
      <c r="G146" s="148" t="s">
        <v>108</v>
      </c>
      <c r="H146" s="191">
        <v>45834</v>
      </c>
      <c r="I146" s="148">
        <v>3.04</v>
      </c>
      <c r="J146" s="148" t="s">
        <v>169</v>
      </c>
      <c r="K146" s="148">
        <v>25</v>
      </c>
      <c r="L146" s="148"/>
    </row>
    <row r="147" spans="2:12" ht="24" x14ac:dyDescent="0.25">
      <c r="B147" s="148" t="s">
        <v>602</v>
      </c>
      <c r="C147" s="148" t="s">
        <v>249</v>
      </c>
      <c r="D147" s="148" t="s">
        <v>183</v>
      </c>
      <c r="E147" s="148" t="s">
        <v>105</v>
      </c>
      <c r="F147" s="214">
        <v>150</v>
      </c>
      <c r="G147" s="148" t="s">
        <v>446</v>
      </c>
      <c r="H147" s="191">
        <v>45016</v>
      </c>
      <c r="I147" s="148">
        <v>3.04</v>
      </c>
      <c r="J147" s="148" t="s">
        <v>169</v>
      </c>
      <c r="K147" s="148">
        <v>25</v>
      </c>
      <c r="L147" s="148"/>
    </row>
    <row r="148" spans="2:12" ht="24" hidden="1" x14ac:dyDescent="0.25">
      <c r="B148" s="148" t="s">
        <v>440</v>
      </c>
      <c r="C148" s="148" t="s">
        <v>367</v>
      </c>
      <c r="D148" s="148" t="s">
        <v>104</v>
      </c>
      <c r="E148" s="148" t="s">
        <v>228</v>
      </c>
      <c r="F148" s="214">
        <v>148.5</v>
      </c>
      <c r="G148" s="148" t="s">
        <v>447</v>
      </c>
      <c r="H148" s="191" t="s">
        <v>559</v>
      </c>
      <c r="I148" s="148" t="s">
        <v>459</v>
      </c>
      <c r="J148" s="148" t="s">
        <v>461</v>
      </c>
      <c r="K148" s="148">
        <v>10</v>
      </c>
      <c r="L148" s="148"/>
    </row>
    <row r="149" spans="2:12" x14ac:dyDescent="0.25">
      <c r="B149" s="148" t="s">
        <v>368</v>
      </c>
      <c r="C149" s="148" t="s">
        <v>370</v>
      </c>
      <c r="D149" s="148" t="s">
        <v>183</v>
      </c>
      <c r="E149" s="148" t="s">
        <v>105</v>
      </c>
      <c r="F149" s="214">
        <v>13.3</v>
      </c>
      <c r="G149" s="148" t="s">
        <v>107</v>
      </c>
      <c r="H149" s="191">
        <v>44681</v>
      </c>
      <c r="I149" s="148" t="s">
        <v>520</v>
      </c>
      <c r="J149" s="148" t="s">
        <v>523</v>
      </c>
      <c r="K149" s="148">
        <v>25</v>
      </c>
      <c r="L149" s="148"/>
    </row>
    <row r="150" spans="2:12" x14ac:dyDescent="0.25">
      <c r="B150" s="148" t="s">
        <v>466</v>
      </c>
      <c r="C150" s="148" t="s">
        <v>370</v>
      </c>
      <c r="D150" s="148" t="s">
        <v>183</v>
      </c>
      <c r="E150" s="148" t="s">
        <v>105</v>
      </c>
      <c r="F150" s="214">
        <v>6.7</v>
      </c>
      <c r="G150" s="148" t="s">
        <v>107</v>
      </c>
      <c r="H150" s="191">
        <v>44726</v>
      </c>
      <c r="I150" s="148" t="s">
        <v>520</v>
      </c>
      <c r="J150" s="148" t="s">
        <v>523</v>
      </c>
      <c r="K150" s="148">
        <v>25</v>
      </c>
      <c r="L150" s="148"/>
    </row>
    <row r="151" spans="2:12" x14ac:dyDescent="0.25">
      <c r="B151" s="148" t="s">
        <v>466</v>
      </c>
      <c r="C151" s="148" t="s">
        <v>370</v>
      </c>
      <c r="D151" s="148" t="s">
        <v>183</v>
      </c>
      <c r="E151" s="148" t="s">
        <v>105</v>
      </c>
      <c r="F151" s="214">
        <v>1.66</v>
      </c>
      <c r="G151" s="148" t="s">
        <v>107</v>
      </c>
      <c r="H151" s="191">
        <v>44797</v>
      </c>
      <c r="I151" s="148" t="s">
        <v>520</v>
      </c>
      <c r="J151" s="148" t="s">
        <v>523</v>
      </c>
      <c r="K151" s="148">
        <v>25</v>
      </c>
      <c r="L151" s="148"/>
    </row>
    <row r="152" spans="2:12" x14ac:dyDescent="0.25">
      <c r="B152" s="148" t="s">
        <v>466</v>
      </c>
      <c r="C152" s="148" t="s">
        <v>370</v>
      </c>
      <c r="D152" s="148" t="s">
        <v>183</v>
      </c>
      <c r="E152" s="148" t="s">
        <v>105</v>
      </c>
      <c r="F152" s="214">
        <v>3.3</v>
      </c>
      <c r="G152" s="148" t="s">
        <v>107</v>
      </c>
      <c r="H152" s="191">
        <v>44797</v>
      </c>
      <c r="I152" s="148" t="s">
        <v>520</v>
      </c>
      <c r="J152" s="148" t="s">
        <v>523</v>
      </c>
      <c r="K152" s="148">
        <v>25</v>
      </c>
      <c r="L152" s="148"/>
    </row>
    <row r="153" spans="2:12" x14ac:dyDescent="0.25">
      <c r="B153" s="148" t="s">
        <v>369</v>
      </c>
      <c r="C153" s="148" t="s">
        <v>370</v>
      </c>
      <c r="D153" s="148" t="s">
        <v>183</v>
      </c>
      <c r="E153" s="148" t="s">
        <v>105</v>
      </c>
      <c r="F153" s="214">
        <v>16.68</v>
      </c>
      <c r="G153" s="148" t="s">
        <v>107</v>
      </c>
      <c r="H153" s="191">
        <v>45063</v>
      </c>
      <c r="I153" s="148" t="s">
        <v>520</v>
      </c>
      <c r="J153" s="148" t="s">
        <v>523</v>
      </c>
      <c r="K153" s="148">
        <v>25</v>
      </c>
      <c r="L153" s="148"/>
    </row>
    <row r="154" spans="2:12" x14ac:dyDescent="0.25">
      <c r="B154" s="148" t="s">
        <v>369</v>
      </c>
      <c r="C154" s="148" t="s">
        <v>370</v>
      </c>
      <c r="D154" s="148" t="s">
        <v>183</v>
      </c>
      <c r="E154" s="148" t="s">
        <v>105</v>
      </c>
      <c r="F154" s="214">
        <v>6.67</v>
      </c>
      <c r="G154" s="148" t="s">
        <v>107</v>
      </c>
      <c r="H154" s="191">
        <v>45071</v>
      </c>
      <c r="I154" s="148" t="s">
        <v>520</v>
      </c>
      <c r="J154" s="148" t="s">
        <v>523</v>
      </c>
      <c r="K154" s="148">
        <v>25</v>
      </c>
      <c r="L154" s="148"/>
    </row>
    <row r="155" spans="2:12" x14ac:dyDescent="0.25">
      <c r="B155" s="148" t="s">
        <v>369</v>
      </c>
      <c r="C155" s="148" t="s">
        <v>370</v>
      </c>
      <c r="D155" s="148" t="s">
        <v>183</v>
      </c>
      <c r="E155" s="148" t="s">
        <v>105</v>
      </c>
      <c r="F155" s="214">
        <v>18.3</v>
      </c>
      <c r="G155" s="148" t="s">
        <v>107</v>
      </c>
      <c r="H155" s="191">
        <v>45064</v>
      </c>
      <c r="I155" s="148" t="s">
        <v>520</v>
      </c>
      <c r="J155" s="148" t="s">
        <v>523</v>
      </c>
      <c r="K155" s="148">
        <v>25</v>
      </c>
      <c r="L155" s="148"/>
    </row>
    <row r="156" spans="2:12" x14ac:dyDescent="0.25">
      <c r="B156" s="148" t="s">
        <v>369</v>
      </c>
      <c r="C156" s="148" t="s">
        <v>370</v>
      </c>
      <c r="D156" s="148" t="s">
        <v>183</v>
      </c>
      <c r="E156" s="148" t="s">
        <v>105</v>
      </c>
      <c r="F156" s="214">
        <v>3.1799999999999997</v>
      </c>
      <c r="G156" s="148" t="s">
        <v>107</v>
      </c>
      <c r="H156" s="191">
        <v>44989</v>
      </c>
      <c r="I156" s="148" t="s">
        <v>520</v>
      </c>
      <c r="J156" s="148" t="s">
        <v>523</v>
      </c>
      <c r="K156" s="148">
        <v>25</v>
      </c>
      <c r="L156" s="148"/>
    </row>
    <row r="157" spans="2:12" x14ac:dyDescent="0.25">
      <c r="B157" s="148" t="s">
        <v>369</v>
      </c>
      <c r="C157" s="148" t="s">
        <v>370</v>
      </c>
      <c r="D157" s="148" t="s">
        <v>183</v>
      </c>
      <c r="E157" s="148" t="s">
        <v>105</v>
      </c>
      <c r="F157" s="214">
        <v>1.8</v>
      </c>
      <c r="G157" s="148" t="s">
        <v>107</v>
      </c>
      <c r="H157" s="191">
        <v>44989</v>
      </c>
      <c r="I157" s="148" t="s">
        <v>520</v>
      </c>
      <c r="J157" s="148" t="s">
        <v>523</v>
      </c>
      <c r="K157" s="148">
        <v>25</v>
      </c>
      <c r="L157" s="148"/>
    </row>
    <row r="158" spans="2:12" x14ac:dyDescent="0.25">
      <c r="B158" s="148" t="s">
        <v>369</v>
      </c>
      <c r="C158" s="148" t="s">
        <v>370</v>
      </c>
      <c r="D158" s="148" t="s">
        <v>183</v>
      </c>
      <c r="E158" s="148" t="s">
        <v>105</v>
      </c>
      <c r="F158" s="214">
        <v>5</v>
      </c>
      <c r="G158" s="148" t="s">
        <v>107</v>
      </c>
      <c r="H158" s="191">
        <v>45094</v>
      </c>
      <c r="I158" s="148" t="s">
        <v>520</v>
      </c>
      <c r="J158" s="148" t="s">
        <v>523</v>
      </c>
      <c r="K158" s="148"/>
      <c r="L158" s="148"/>
    </row>
    <row r="159" spans="2:12" x14ac:dyDescent="0.25">
      <c r="B159" s="148" t="s">
        <v>369</v>
      </c>
      <c r="C159" s="148" t="s">
        <v>370</v>
      </c>
      <c r="D159" s="148" t="s">
        <v>183</v>
      </c>
      <c r="E159" s="148" t="s">
        <v>105</v>
      </c>
      <c r="F159" s="214">
        <v>6.67</v>
      </c>
      <c r="G159" s="148" t="s">
        <v>107</v>
      </c>
      <c r="H159" s="191">
        <v>45087</v>
      </c>
      <c r="I159" s="148" t="s">
        <v>520</v>
      </c>
      <c r="J159" s="148" t="s">
        <v>523</v>
      </c>
      <c r="K159" s="148">
        <v>25</v>
      </c>
      <c r="L159" s="148"/>
    </row>
    <row r="160" spans="2:12" x14ac:dyDescent="0.25">
      <c r="B160" s="148" t="s">
        <v>369</v>
      </c>
      <c r="C160" s="148" t="s">
        <v>370</v>
      </c>
      <c r="D160" s="148" t="s">
        <v>183</v>
      </c>
      <c r="E160" s="148" t="s">
        <v>105</v>
      </c>
      <c r="F160" s="214">
        <v>10</v>
      </c>
      <c r="G160" s="148" t="s">
        <v>107</v>
      </c>
      <c r="H160" s="191">
        <v>45063</v>
      </c>
      <c r="I160" s="148" t="s">
        <v>520</v>
      </c>
      <c r="J160" s="148" t="s">
        <v>523</v>
      </c>
      <c r="K160" s="148">
        <v>25</v>
      </c>
      <c r="L160" s="148"/>
    </row>
    <row r="161" spans="2:12" x14ac:dyDescent="0.25">
      <c r="B161" s="148" t="s">
        <v>467</v>
      </c>
      <c r="C161" s="148" t="s">
        <v>370</v>
      </c>
      <c r="D161" s="148" t="s">
        <v>183</v>
      </c>
      <c r="E161" s="148" t="s">
        <v>105</v>
      </c>
      <c r="F161" s="214">
        <v>15</v>
      </c>
      <c r="G161" s="148" t="s">
        <v>107</v>
      </c>
      <c r="H161" s="191">
        <v>45096</v>
      </c>
      <c r="I161" s="148" t="s">
        <v>520</v>
      </c>
      <c r="J161" s="148" t="s">
        <v>523</v>
      </c>
      <c r="K161" s="148">
        <v>25</v>
      </c>
      <c r="L161" s="148"/>
    </row>
    <row r="162" spans="2:12" x14ac:dyDescent="0.25">
      <c r="B162" s="148" t="s">
        <v>467</v>
      </c>
      <c r="C162" s="148" t="s">
        <v>370</v>
      </c>
      <c r="D162" s="148" t="s">
        <v>183</v>
      </c>
      <c r="E162" s="148" t="s">
        <v>105</v>
      </c>
      <c r="F162" s="214">
        <v>23.8</v>
      </c>
      <c r="G162" s="148" t="s">
        <v>107</v>
      </c>
      <c r="H162" s="191">
        <v>45096</v>
      </c>
      <c r="I162" s="148" t="s">
        <v>520</v>
      </c>
      <c r="J162" s="148" t="s">
        <v>523</v>
      </c>
      <c r="K162" s="148">
        <v>25</v>
      </c>
      <c r="L162" s="148"/>
    </row>
    <row r="163" spans="2:12" x14ac:dyDescent="0.25">
      <c r="B163" s="148" t="s">
        <v>467</v>
      </c>
      <c r="C163" s="148" t="s">
        <v>370</v>
      </c>
      <c r="D163" s="148" t="s">
        <v>183</v>
      </c>
      <c r="E163" s="148" t="s">
        <v>105</v>
      </c>
      <c r="F163" s="214">
        <v>15</v>
      </c>
      <c r="G163" s="148" t="s">
        <v>107</v>
      </c>
      <c r="H163" s="191">
        <v>45096</v>
      </c>
      <c r="I163" s="148" t="s">
        <v>520</v>
      </c>
      <c r="J163" s="148" t="s">
        <v>523</v>
      </c>
      <c r="K163" s="148">
        <v>20</v>
      </c>
      <c r="L163" s="148"/>
    </row>
    <row r="164" spans="2:12" x14ac:dyDescent="0.25">
      <c r="B164" s="148" t="s">
        <v>467</v>
      </c>
      <c r="C164" s="148" t="s">
        <v>370</v>
      </c>
      <c r="D164" s="148" t="s">
        <v>183</v>
      </c>
      <c r="E164" s="148" t="s">
        <v>105</v>
      </c>
      <c r="F164" s="214">
        <v>15</v>
      </c>
      <c r="G164" s="148" t="s">
        <v>107</v>
      </c>
      <c r="H164" s="191">
        <v>45096</v>
      </c>
      <c r="I164" s="148" t="s">
        <v>520</v>
      </c>
      <c r="J164" s="148" t="s">
        <v>523</v>
      </c>
      <c r="K164" s="148">
        <v>25</v>
      </c>
      <c r="L164" s="148"/>
    </row>
    <row r="165" spans="2:12" x14ac:dyDescent="0.25">
      <c r="B165" s="148" t="s">
        <v>468</v>
      </c>
      <c r="C165" s="148" t="s">
        <v>370</v>
      </c>
      <c r="D165" s="148" t="s">
        <v>183</v>
      </c>
      <c r="E165" s="148" t="s">
        <v>105</v>
      </c>
      <c r="F165" s="214">
        <v>25.06</v>
      </c>
      <c r="G165" s="148" t="s">
        <v>107</v>
      </c>
      <c r="H165" s="191">
        <v>45096</v>
      </c>
      <c r="I165" s="148" t="s">
        <v>520</v>
      </c>
      <c r="J165" s="148" t="s">
        <v>523</v>
      </c>
      <c r="K165" s="148">
        <v>25</v>
      </c>
      <c r="L165" s="148"/>
    </row>
    <row r="166" spans="2:12" x14ac:dyDescent="0.25">
      <c r="B166" s="148" t="s">
        <v>469</v>
      </c>
      <c r="C166" s="148" t="s">
        <v>370</v>
      </c>
      <c r="D166" s="148" t="s">
        <v>183</v>
      </c>
      <c r="E166" s="148" t="s">
        <v>105</v>
      </c>
      <c r="F166" s="214">
        <v>33</v>
      </c>
      <c r="G166" s="148" t="s">
        <v>116</v>
      </c>
      <c r="H166" s="191">
        <v>45083</v>
      </c>
      <c r="I166" s="148" t="s">
        <v>520</v>
      </c>
      <c r="J166" s="148" t="s">
        <v>523</v>
      </c>
      <c r="K166" s="148">
        <v>25</v>
      </c>
      <c r="L166" s="148"/>
    </row>
    <row r="167" spans="2:12" x14ac:dyDescent="0.25">
      <c r="B167" s="148" t="s">
        <v>469</v>
      </c>
      <c r="C167" s="148" t="s">
        <v>370</v>
      </c>
      <c r="D167" s="148" t="s">
        <v>183</v>
      </c>
      <c r="E167" s="148" t="s">
        <v>105</v>
      </c>
      <c r="F167" s="214">
        <v>14</v>
      </c>
      <c r="G167" s="148" t="s">
        <v>116</v>
      </c>
      <c r="H167" s="191">
        <v>45083</v>
      </c>
      <c r="I167" s="148" t="s">
        <v>520</v>
      </c>
      <c r="J167" s="148" t="s">
        <v>523</v>
      </c>
      <c r="K167" s="148">
        <v>25</v>
      </c>
      <c r="L167" s="148"/>
    </row>
    <row r="168" spans="2:12" ht="24" x14ac:dyDescent="0.25">
      <c r="B168" s="148" t="s">
        <v>470</v>
      </c>
      <c r="C168" s="148" t="s">
        <v>370</v>
      </c>
      <c r="D168" s="148" t="s">
        <v>183</v>
      </c>
      <c r="E168" s="148" t="s">
        <v>105</v>
      </c>
      <c r="F168" s="214">
        <v>100</v>
      </c>
      <c r="G168" s="148" t="s">
        <v>447</v>
      </c>
      <c r="H168" s="191" t="s">
        <v>450</v>
      </c>
      <c r="I168" s="148" t="s">
        <v>521</v>
      </c>
      <c r="J168" s="148" t="s">
        <v>523</v>
      </c>
      <c r="K168" s="148">
        <v>25</v>
      </c>
      <c r="L168" s="148"/>
    </row>
    <row r="169" spans="2:12" hidden="1" x14ac:dyDescent="0.25">
      <c r="B169" s="148" t="s">
        <v>471</v>
      </c>
      <c r="C169" s="148" t="s">
        <v>370</v>
      </c>
      <c r="D169" s="148" t="s">
        <v>183</v>
      </c>
      <c r="E169" s="148" t="s">
        <v>228</v>
      </c>
      <c r="F169" s="214">
        <v>10</v>
      </c>
      <c r="G169" s="148" t="s">
        <v>247</v>
      </c>
      <c r="H169" s="191" t="s">
        <v>491</v>
      </c>
      <c r="I169" s="148" t="s">
        <v>521</v>
      </c>
      <c r="J169" s="148" t="s">
        <v>523</v>
      </c>
      <c r="K169" s="148">
        <v>25</v>
      </c>
      <c r="L169" s="148"/>
    </row>
    <row r="170" spans="2:12" x14ac:dyDescent="0.25">
      <c r="B170" s="148" t="s">
        <v>353</v>
      </c>
      <c r="C170" s="148" t="s">
        <v>370</v>
      </c>
      <c r="D170" s="148" t="s">
        <v>183</v>
      </c>
      <c r="E170" s="148" t="s">
        <v>105</v>
      </c>
      <c r="F170" s="214">
        <v>20</v>
      </c>
      <c r="G170" s="148" t="s">
        <v>108</v>
      </c>
      <c r="H170" s="191">
        <v>44540</v>
      </c>
      <c r="I170" s="148" t="s">
        <v>520</v>
      </c>
      <c r="J170" s="148" t="s">
        <v>523</v>
      </c>
      <c r="K170" s="148">
        <v>25</v>
      </c>
      <c r="L170" s="148"/>
    </row>
    <row r="171" spans="2:12" x14ac:dyDescent="0.25">
      <c r="B171" s="148" t="s">
        <v>353</v>
      </c>
      <c r="C171" s="148" t="s">
        <v>370</v>
      </c>
      <c r="D171" s="148" t="s">
        <v>183</v>
      </c>
      <c r="E171" s="148" t="s">
        <v>105</v>
      </c>
      <c r="F171" s="214">
        <v>5</v>
      </c>
      <c r="G171" s="148" t="s">
        <v>108</v>
      </c>
      <c r="H171" s="191">
        <v>44651</v>
      </c>
      <c r="I171" s="148" t="s">
        <v>520</v>
      </c>
      <c r="J171" s="148" t="s">
        <v>523</v>
      </c>
      <c r="K171" s="148">
        <v>25</v>
      </c>
      <c r="L171" s="148"/>
    </row>
    <row r="172" spans="2:12" x14ac:dyDescent="0.25">
      <c r="B172" s="148" t="s">
        <v>354</v>
      </c>
      <c r="C172" s="148" t="s">
        <v>370</v>
      </c>
      <c r="D172" s="148" t="s">
        <v>183</v>
      </c>
      <c r="E172" s="148" t="s">
        <v>105</v>
      </c>
      <c r="F172" s="214">
        <v>43</v>
      </c>
      <c r="G172" s="148" t="s">
        <v>108</v>
      </c>
      <c r="H172" s="191">
        <v>44651</v>
      </c>
      <c r="I172" s="148" t="s">
        <v>520</v>
      </c>
      <c r="J172" s="148" t="s">
        <v>523</v>
      </c>
      <c r="K172" s="148">
        <v>25</v>
      </c>
      <c r="L172" s="148"/>
    </row>
    <row r="173" spans="2:12" x14ac:dyDescent="0.25">
      <c r="B173" s="148" t="s">
        <v>354</v>
      </c>
      <c r="C173" s="148" t="s">
        <v>370</v>
      </c>
      <c r="D173" s="148" t="s">
        <v>183</v>
      </c>
      <c r="E173" s="148" t="s">
        <v>105</v>
      </c>
      <c r="F173" s="214">
        <v>7</v>
      </c>
      <c r="G173" s="148" t="s">
        <v>108</v>
      </c>
      <c r="H173" s="191">
        <v>44651</v>
      </c>
      <c r="I173" s="148" t="s">
        <v>520</v>
      </c>
      <c r="J173" s="148" t="s">
        <v>523</v>
      </c>
      <c r="K173" s="148">
        <v>25</v>
      </c>
      <c r="L173" s="148"/>
    </row>
    <row r="174" spans="2:12" x14ac:dyDescent="0.25">
      <c r="B174" s="148" t="s">
        <v>441</v>
      </c>
      <c r="C174" s="148" t="s">
        <v>370</v>
      </c>
      <c r="D174" s="148" t="s">
        <v>183</v>
      </c>
      <c r="E174" s="148" t="s">
        <v>105</v>
      </c>
      <c r="F174" s="214">
        <f>10+5.5</f>
        <v>15.5</v>
      </c>
      <c r="G174" s="148" t="s">
        <v>108</v>
      </c>
      <c r="H174" s="191">
        <v>44912</v>
      </c>
      <c r="I174" s="148" t="s">
        <v>520</v>
      </c>
      <c r="J174" s="148" t="s">
        <v>523</v>
      </c>
      <c r="K174" s="148">
        <v>25</v>
      </c>
      <c r="L174" s="148"/>
    </row>
    <row r="175" spans="2:12" x14ac:dyDescent="0.25">
      <c r="B175" s="148" t="s">
        <v>441</v>
      </c>
      <c r="C175" s="148" t="s">
        <v>370</v>
      </c>
      <c r="D175" s="148" t="s">
        <v>183</v>
      </c>
      <c r="E175" s="148" t="s">
        <v>105</v>
      </c>
      <c r="F175" s="214">
        <v>16.5</v>
      </c>
      <c r="G175" s="148" t="s">
        <v>108</v>
      </c>
      <c r="H175" s="191">
        <v>44912</v>
      </c>
      <c r="I175" s="148" t="s">
        <v>520</v>
      </c>
      <c r="J175" s="148" t="s">
        <v>523</v>
      </c>
      <c r="K175" s="148">
        <v>25</v>
      </c>
      <c r="L175" s="148"/>
    </row>
    <row r="176" spans="2:12" x14ac:dyDescent="0.25">
      <c r="B176" s="148" t="s">
        <v>442</v>
      </c>
      <c r="C176" s="148" t="s">
        <v>370</v>
      </c>
      <c r="D176" s="148" t="s">
        <v>183</v>
      </c>
      <c r="E176" s="148" t="s">
        <v>105</v>
      </c>
      <c r="F176" s="214">
        <v>15</v>
      </c>
      <c r="G176" s="148" t="s">
        <v>108</v>
      </c>
      <c r="H176" s="191">
        <v>44966</v>
      </c>
      <c r="I176" s="148" t="s">
        <v>520</v>
      </c>
      <c r="J176" s="148" t="s">
        <v>523</v>
      </c>
      <c r="K176" s="148">
        <v>25</v>
      </c>
      <c r="L176" s="148"/>
    </row>
    <row r="177" spans="2:12" x14ac:dyDescent="0.25">
      <c r="B177" s="148" t="s">
        <v>443</v>
      </c>
      <c r="C177" s="148" t="s">
        <v>370</v>
      </c>
      <c r="D177" s="148" t="s">
        <v>183</v>
      </c>
      <c r="E177" s="148" t="s">
        <v>105</v>
      </c>
      <c r="F177" s="214">
        <v>200</v>
      </c>
      <c r="G177" s="148" t="s">
        <v>446</v>
      </c>
      <c r="H177" s="191" t="s">
        <v>453</v>
      </c>
      <c r="I177" s="148" t="s">
        <v>521</v>
      </c>
      <c r="J177" s="148" t="s">
        <v>523</v>
      </c>
      <c r="K177" s="148">
        <v>20</v>
      </c>
      <c r="L177" s="148"/>
    </row>
    <row r="178" spans="2:12" x14ac:dyDescent="0.25">
      <c r="B178" s="148" t="s">
        <v>489</v>
      </c>
      <c r="C178" s="148" t="s">
        <v>370</v>
      </c>
      <c r="D178" s="148" t="s">
        <v>183</v>
      </c>
      <c r="E178" s="148" t="s">
        <v>105</v>
      </c>
      <c r="F178" s="214">
        <v>71.3</v>
      </c>
      <c r="G178" s="148" t="s">
        <v>108</v>
      </c>
      <c r="H178" s="191" t="s">
        <v>599</v>
      </c>
      <c r="I178" s="148" t="s">
        <v>521</v>
      </c>
      <c r="J178" s="148" t="s">
        <v>523</v>
      </c>
      <c r="K178" s="148">
        <v>25</v>
      </c>
      <c r="L178" s="148"/>
    </row>
    <row r="179" spans="2:12" x14ac:dyDescent="0.25">
      <c r="B179" s="148" t="s">
        <v>368</v>
      </c>
      <c r="C179" s="148" t="s">
        <v>367</v>
      </c>
      <c r="D179" s="148" t="s">
        <v>104</v>
      </c>
      <c r="E179" s="148" t="s">
        <v>105</v>
      </c>
      <c r="F179" s="214">
        <v>17.600000000000001</v>
      </c>
      <c r="G179" s="148" t="s">
        <v>107</v>
      </c>
      <c r="H179" s="191">
        <v>44593</v>
      </c>
      <c r="I179" s="148" t="s">
        <v>522</v>
      </c>
      <c r="J179" s="148" t="s">
        <v>523</v>
      </c>
      <c r="K179" s="148">
        <v>25</v>
      </c>
      <c r="L179" s="148"/>
    </row>
    <row r="180" spans="2:12" x14ac:dyDescent="0.25">
      <c r="B180" s="148" t="s">
        <v>368</v>
      </c>
      <c r="C180" s="148" t="s">
        <v>367</v>
      </c>
      <c r="D180" s="148" t="s">
        <v>104</v>
      </c>
      <c r="E180" s="148" t="s">
        <v>105</v>
      </c>
      <c r="F180" s="214">
        <v>17.600000000000001</v>
      </c>
      <c r="G180" s="148" t="s">
        <v>107</v>
      </c>
      <c r="H180" s="191">
        <v>44681</v>
      </c>
      <c r="I180" s="148" t="s">
        <v>522</v>
      </c>
      <c r="J180" s="148" t="s">
        <v>523</v>
      </c>
      <c r="K180" s="148">
        <v>25</v>
      </c>
      <c r="L180" s="148"/>
    </row>
    <row r="181" spans="2:12" x14ac:dyDescent="0.25">
      <c r="B181" s="148" t="s">
        <v>466</v>
      </c>
      <c r="C181" s="148" t="s">
        <v>367</v>
      </c>
      <c r="D181" s="148" t="s">
        <v>104</v>
      </c>
      <c r="E181" s="148" t="s">
        <v>105</v>
      </c>
      <c r="F181" s="214">
        <v>8.8000000000000007</v>
      </c>
      <c r="G181" s="148" t="s">
        <v>107</v>
      </c>
      <c r="H181" s="191">
        <v>44726</v>
      </c>
      <c r="I181" s="148" t="s">
        <v>522</v>
      </c>
      <c r="J181" s="148" t="s">
        <v>523</v>
      </c>
      <c r="K181" s="148">
        <v>25</v>
      </c>
      <c r="L181" s="148"/>
    </row>
    <row r="182" spans="2:12" x14ac:dyDescent="0.25">
      <c r="B182" s="148" t="s">
        <v>466</v>
      </c>
      <c r="C182" s="148" t="s">
        <v>367</v>
      </c>
      <c r="D182" s="148" t="s">
        <v>104</v>
      </c>
      <c r="E182" s="148" t="s">
        <v>105</v>
      </c>
      <c r="F182" s="214">
        <f>F183/2</f>
        <v>2.2000000000000002</v>
      </c>
      <c r="G182" s="148" t="s">
        <v>107</v>
      </c>
      <c r="H182" s="191">
        <v>44797</v>
      </c>
      <c r="I182" s="148" t="s">
        <v>522</v>
      </c>
      <c r="J182" s="148" t="s">
        <v>523</v>
      </c>
      <c r="K182" s="148">
        <v>25</v>
      </c>
      <c r="L182" s="148"/>
    </row>
    <row r="183" spans="2:12" x14ac:dyDescent="0.25">
      <c r="B183" s="148" t="s">
        <v>466</v>
      </c>
      <c r="C183" s="148" t="s">
        <v>367</v>
      </c>
      <c r="D183" s="148" t="s">
        <v>104</v>
      </c>
      <c r="E183" s="148" t="s">
        <v>105</v>
      </c>
      <c r="F183" s="214">
        <v>4.4000000000000004</v>
      </c>
      <c r="G183" s="148" t="s">
        <v>107</v>
      </c>
      <c r="H183" s="191">
        <v>44797</v>
      </c>
      <c r="I183" s="148" t="s">
        <v>522</v>
      </c>
      <c r="J183" s="148" t="s">
        <v>523</v>
      </c>
      <c r="K183" s="148">
        <v>25</v>
      </c>
      <c r="L183" s="148"/>
    </row>
    <row r="184" spans="2:12" x14ac:dyDescent="0.25">
      <c r="B184" s="148" t="s">
        <v>369</v>
      </c>
      <c r="C184" s="148" t="s">
        <v>367</v>
      </c>
      <c r="D184" s="148" t="s">
        <v>104</v>
      </c>
      <c r="E184" s="148" t="s">
        <v>105</v>
      </c>
      <c r="F184" s="214">
        <v>11</v>
      </c>
      <c r="G184" s="148" t="s">
        <v>107</v>
      </c>
      <c r="H184" s="191">
        <v>45063</v>
      </c>
      <c r="I184" s="148" t="s">
        <v>522</v>
      </c>
      <c r="J184" s="148" t="s">
        <v>523</v>
      </c>
      <c r="K184" s="148">
        <v>25</v>
      </c>
      <c r="L184" s="148"/>
    </row>
    <row r="185" spans="2:12" x14ac:dyDescent="0.25">
      <c r="B185" s="148" t="s">
        <v>369</v>
      </c>
      <c r="C185" s="148" t="s">
        <v>367</v>
      </c>
      <c r="D185" s="148" t="s">
        <v>104</v>
      </c>
      <c r="E185" s="148" t="s">
        <v>105</v>
      </c>
      <c r="F185" s="214">
        <v>6.6</v>
      </c>
      <c r="G185" s="148" t="s">
        <v>107</v>
      </c>
      <c r="H185" s="191">
        <v>45071</v>
      </c>
      <c r="I185" s="148" t="s">
        <v>522</v>
      </c>
      <c r="J185" s="148" t="s">
        <v>523</v>
      </c>
      <c r="K185" s="148">
        <v>25</v>
      </c>
      <c r="L185" s="148"/>
    </row>
    <row r="186" spans="2:12" x14ac:dyDescent="0.25">
      <c r="B186" s="148" t="s">
        <v>369</v>
      </c>
      <c r="C186" s="148" t="s">
        <v>367</v>
      </c>
      <c r="D186" s="148" t="s">
        <v>104</v>
      </c>
      <c r="E186" s="148" t="s">
        <v>105</v>
      </c>
      <c r="F186" s="214">
        <v>17.600000000000001</v>
      </c>
      <c r="G186" s="148" t="s">
        <v>107</v>
      </c>
      <c r="H186" s="191">
        <v>45064</v>
      </c>
      <c r="I186" s="148" t="s">
        <v>522</v>
      </c>
      <c r="J186" s="148" t="s">
        <v>523</v>
      </c>
      <c r="K186" s="148">
        <v>25</v>
      </c>
      <c r="L186" s="148"/>
    </row>
    <row r="187" spans="2:12" x14ac:dyDescent="0.25">
      <c r="B187" s="148" t="s">
        <v>369</v>
      </c>
      <c r="C187" s="148" t="s">
        <v>367</v>
      </c>
      <c r="D187" s="148" t="s">
        <v>104</v>
      </c>
      <c r="E187" s="148" t="s">
        <v>105</v>
      </c>
      <c r="F187" s="214">
        <f>2.2+2.4</f>
        <v>4.5999999999999996</v>
      </c>
      <c r="G187" s="148" t="s">
        <v>107</v>
      </c>
      <c r="H187" s="191">
        <v>44989</v>
      </c>
      <c r="I187" s="148" t="s">
        <v>522</v>
      </c>
      <c r="J187" s="148" t="s">
        <v>523</v>
      </c>
      <c r="K187" s="148">
        <v>25</v>
      </c>
      <c r="L187" s="148"/>
    </row>
    <row r="188" spans="2:12" x14ac:dyDescent="0.25">
      <c r="B188" s="148" t="s">
        <v>369</v>
      </c>
      <c r="C188" s="148" t="s">
        <v>367</v>
      </c>
      <c r="D188" s="148" t="s">
        <v>104</v>
      </c>
      <c r="E188" s="148" t="s">
        <v>105</v>
      </c>
      <c r="F188" s="214">
        <v>2</v>
      </c>
      <c r="G188" s="148" t="s">
        <v>107</v>
      </c>
      <c r="H188" s="191">
        <v>44989</v>
      </c>
      <c r="I188" s="148" t="s">
        <v>522</v>
      </c>
      <c r="J188" s="148" t="s">
        <v>523</v>
      </c>
      <c r="K188" s="148">
        <v>25</v>
      </c>
      <c r="L188" s="148"/>
    </row>
    <row r="189" spans="2:12" x14ac:dyDescent="0.25">
      <c r="B189" s="148" t="s">
        <v>369</v>
      </c>
      <c r="C189" s="148" t="s">
        <v>367</v>
      </c>
      <c r="D189" s="148" t="s">
        <v>104</v>
      </c>
      <c r="E189" s="148" t="s">
        <v>105</v>
      </c>
      <c r="F189" s="214">
        <v>4.4000000000000004</v>
      </c>
      <c r="G189" s="148" t="s">
        <v>107</v>
      </c>
      <c r="H189" s="191">
        <v>45094</v>
      </c>
      <c r="I189" s="148" t="s">
        <v>522</v>
      </c>
      <c r="J189" s="148" t="s">
        <v>523</v>
      </c>
      <c r="K189" s="148"/>
      <c r="L189" s="148"/>
    </row>
    <row r="190" spans="2:12" x14ac:dyDescent="0.25">
      <c r="B190" s="148" t="s">
        <v>369</v>
      </c>
      <c r="C190" s="148" t="s">
        <v>367</v>
      </c>
      <c r="D190" s="148" t="s">
        <v>104</v>
      </c>
      <c r="E190" s="148" t="s">
        <v>105</v>
      </c>
      <c r="F190" s="214">
        <v>6.6</v>
      </c>
      <c r="G190" s="148" t="s">
        <v>107</v>
      </c>
      <c r="H190" s="191">
        <v>45087</v>
      </c>
      <c r="I190" s="148" t="s">
        <v>522</v>
      </c>
      <c r="J190" s="148" t="s">
        <v>523</v>
      </c>
      <c r="K190" s="148">
        <v>25</v>
      </c>
      <c r="L190" s="148"/>
    </row>
    <row r="191" spans="2:12" x14ac:dyDescent="0.25">
      <c r="B191" s="148" t="s">
        <v>369</v>
      </c>
      <c r="C191" s="148" t="s">
        <v>367</v>
      </c>
      <c r="D191" s="148" t="s">
        <v>104</v>
      </c>
      <c r="E191" s="148" t="s">
        <v>105</v>
      </c>
      <c r="F191" s="214">
        <v>8.8000000000000007</v>
      </c>
      <c r="G191" s="148" t="s">
        <v>107</v>
      </c>
      <c r="H191" s="191">
        <v>45063</v>
      </c>
      <c r="I191" s="148" t="s">
        <v>522</v>
      </c>
      <c r="J191" s="148" t="s">
        <v>523</v>
      </c>
      <c r="K191" s="148">
        <v>25</v>
      </c>
      <c r="L191" s="148"/>
    </row>
    <row r="192" spans="2:12" x14ac:dyDescent="0.25">
      <c r="B192" s="148" t="s">
        <v>467</v>
      </c>
      <c r="C192" s="148" t="s">
        <v>367</v>
      </c>
      <c r="D192" s="148" t="s">
        <v>104</v>
      </c>
      <c r="E192" s="148" t="s">
        <v>105</v>
      </c>
      <c r="F192" s="214">
        <v>15.4</v>
      </c>
      <c r="G192" s="148" t="s">
        <v>107</v>
      </c>
      <c r="H192" s="191">
        <v>45096</v>
      </c>
      <c r="I192" s="148" t="s">
        <v>522</v>
      </c>
      <c r="J192" s="148" t="s">
        <v>523</v>
      </c>
      <c r="K192" s="148">
        <v>25</v>
      </c>
      <c r="L192" s="148"/>
    </row>
    <row r="193" spans="2:12" x14ac:dyDescent="0.25">
      <c r="B193" s="148" t="s">
        <v>467</v>
      </c>
      <c r="C193" s="148" t="s">
        <v>367</v>
      </c>
      <c r="D193" s="148" t="s">
        <v>104</v>
      </c>
      <c r="E193" s="148" t="s">
        <v>105</v>
      </c>
      <c r="F193" s="214">
        <v>23.1</v>
      </c>
      <c r="G193" s="148" t="s">
        <v>107</v>
      </c>
      <c r="H193" s="191">
        <v>45096</v>
      </c>
      <c r="I193" s="148" t="s">
        <v>522</v>
      </c>
      <c r="J193" s="148" t="s">
        <v>523</v>
      </c>
      <c r="K193" s="148">
        <v>25</v>
      </c>
      <c r="L193" s="148"/>
    </row>
    <row r="194" spans="2:12" x14ac:dyDescent="0.25">
      <c r="B194" s="148" t="s">
        <v>467</v>
      </c>
      <c r="C194" s="148" t="s">
        <v>367</v>
      </c>
      <c r="D194" s="148" t="s">
        <v>104</v>
      </c>
      <c r="E194" s="148" t="s">
        <v>105</v>
      </c>
      <c r="F194" s="214">
        <v>15.4</v>
      </c>
      <c r="G194" s="148" t="s">
        <v>107</v>
      </c>
      <c r="H194" s="191">
        <v>45096</v>
      </c>
      <c r="I194" s="148" t="s">
        <v>522</v>
      </c>
      <c r="J194" s="148" t="s">
        <v>523</v>
      </c>
      <c r="K194" s="148">
        <v>20</v>
      </c>
      <c r="L194" s="148"/>
    </row>
    <row r="195" spans="2:12" x14ac:dyDescent="0.25">
      <c r="B195" s="148" t="s">
        <v>467</v>
      </c>
      <c r="C195" s="148" t="s">
        <v>367</v>
      </c>
      <c r="D195" s="148" t="s">
        <v>104</v>
      </c>
      <c r="E195" s="148" t="s">
        <v>105</v>
      </c>
      <c r="F195" s="214">
        <v>15.4</v>
      </c>
      <c r="G195" s="148" t="s">
        <v>107</v>
      </c>
      <c r="H195" s="191">
        <v>45096</v>
      </c>
      <c r="I195" s="148" t="s">
        <v>522</v>
      </c>
      <c r="J195" s="148" t="s">
        <v>523</v>
      </c>
      <c r="K195" s="148">
        <v>25</v>
      </c>
      <c r="L195" s="148"/>
    </row>
    <row r="196" spans="2:12" x14ac:dyDescent="0.25">
      <c r="B196" s="148" t="s">
        <v>468</v>
      </c>
      <c r="C196" s="148" t="s">
        <v>367</v>
      </c>
      <c r="D196" s="148" t="s">
        <v>104</v>
      </c>
      <c r="E196" s="148" t="s">
        <v>105</v>
      </c>
      <c r="F196" s="214">
        <v>23.1</v>
      </c>
      <c r="G196" s="148" t="s">
        <v>107</v>
      </c>
      <c r="H196" s="191">
        <v>45096</v>
      </c>
      <c r="I196" s="148" t="s">
        <v>522</v>
      </c>
      <c r="J196" s="148" t="s">
        <v>523</v>
      </c>
      <c r="K196" s="148">
        <v>25</v>
      </c>
      <c r="L196" s="148"/>
    </row>
    <row r="197" spans="2:12" x14ac:dyDescent="0.25">
      <c r="B197" s="148" t="s">
        <v>469</v>
      </c>
      <c r="C197" s="148" t="s">
        <v>367</v>
      </c>
      <c r="D197" s="148" t="s">
        <v>104</v>
      </c>
      <c r="E197" s="148" t="s">
        <v>105</v>
      </c>
      <c r="F197" s="214">
        <v>9.9</v>
      </c>
      <c r="G197" s="148" t="s">
        <v>116</v>
      </c>
      <c r="H197" s="191">
        <v>45083</v>
      </c>
      <c r="I197" s="148" t="s">
        <v>522</v>
      </c>
      <c r="J197" s="148" t="s">
        <v>523</v>
      </c>
      <c r="K197" s="148">
        <v>25</v>
      </c>
      <c r="L197" s="148"/>
    </row>
    <row r="198" spans="2:12" x14ac:dyDescent="0.25">
      <c r="B198" s="148" t="s">
        <v>469</v>
      </c>
      <c r="C198" s="148" t="s">
        <v>367</v>
      </c>
      <c r="D198" s="148" t="s">
        <v>104</v>
      </c>
      <c r="E198" s="148" t="s">
        <v>105</v>
      </c>
      <c r="F198" s="214">
        <v>6.6</v>
      </c>
      <c r="G198" s="148" t="s">
        <v>116</v>
      </c>
      <c r="H198" s="191">
        <v>45083</v>
      </c>
      <c r="I198" s="148" t="s">
        <v>522</v>
      </c>
      <c r="J198" s="148" t="s">
        <v>523</v>
      </c>
      <c r="K198" s="148">
        <v>25</v>
      </c>
      <c r="L198" s="148"/>
    </row>
    <row r="199" spans="2:12" ht="24" hidden="1" x14ac:dyDescent="0.25">
      <c r="B199" s="148" t="s">
        <v>470</v>
      </c>
      <c r="C199" s="148" t="s">
        <v>367</v>
      </c>
      <c r="D199" s="148" t="s">
        <v>104</v>
      </c>
      <c r="E199" s="148" t="s">
        <v>228</v>
      </c>
      <c r="F199" s="214">
        <v>181.5</v>
      </c>
      <c r="G199" s="148" t="s">
        <v>447</v>
      </c>
      <c r="H199" s="191" t="s">
        <v>452</v>
      </c>
      <c r="I199" s="148" t="s">
        <v>521</v>
      </c>
      <c r="J199" s="148" t="s">
        <v>523</v>
      </c>
      <c r="K199" s="148">
        <v>25</v>
      </c>
      <c r="L199" s="148"/>
    </row>
    <row r="200" spans="2:12" hidden="1" x14ac:dyDescent="0.25">
      <c r="B200" s="148" t="s">
        <v>471</v>
      </c>
      <c r="C200" s="148" t="s">
        <v>367</v>
      </c>
      <c r="D200" s="148" t="s">
        <v>104</v>
      </c>
      <c r="E200" s="148" t="s">
        <v>228</v>
      </c>
      <c r="F200" s="214">
        <v>16.5</v>
      </c>
      <c r="G200" s="148" t="s">
        <v>247</v>
      </c>
      <c r="H200" s="191" t="s">
        <v>452</v>
      </c>
      <c r="I200" s="148" t="s">
        <v>521</v>
      </c>
      <c r="J200" s="148" t="s">
        <v>523</v>
      </c>
      <c r="K200" s="148">
        <v>25</v>
      </c>
      <c r="L200" s="148"/>
    </row>
    <row r="201" spans="2:12" x14ac:dyDescent="0.25">
      <c r="B201" s="148" t="s">
        <v>472</v>
      </c>
      <c r="C201" s="148" t="s">
        <v>463</v>
      </c>
      <c r="D201" s="148" t="s">
        <v>242</v>
      </c>
      <c r="E201" s="148" t="s">
        <v>105</v>
      </c>
      <c r="F201" s="214">
        <v>99</v>
      </c>
      <c r="G201" s="148" t="s">
        <v>448</v>
      </c>
      <c r="H201" s="191">
        <v>44173.333333333336</v>
      </c>
      <c r="I201" s="148" t="s">
        <v>458</v>
      </c>
      <c r="J201" s="148" t="s">
        <v>462</v>
      </c>
      <c r="K201" s="148"/>
      <c r="L201" s="148" t="s">
        <v>485</v>
      </c>
    </row>
    <row r="202" spans="2:12" x14ac:dyDescent="0.25">
      <c r="B202" s="148" t="s">
        <v>469</v>
      </c>
      <c r="C202" s="148" t="s">
        <v>367</v>
      </c>
      <c r="D202" s="148" t="s">
        <v>104</v>
      </c>
      <c r="E202" s="148" t="s">
        <v>105</v>
      </c>
      <c r="F202" s="214">
        <v>9.9</v>
      </c>
      <c r="G202" s="148" t="s">
        <v>116</v>
      </c>
      <c r="H202" s="191" t="s">
        <v>452</v>
      </c>
      <c r="I202" s="148" t="s">
        <v>458</v>
      </c>
      <c r="J202" s="148" t="s">
        <v>462</v>
      </c>
      <c r="K202" s="148"/>
      <c r="L202" s="148"/>
    </row>
    <row r="203" spans="2:12" x14ac:dyDescent="0.25">
      <c r="B203" s="148" t="s">
        <v>469</v>
      </c>
      <c r="C203" s="148" t="s">
        <v>367</v>
      </c>
      <c r="D203" s="148" t="s">
        <v>104</v>
      </c>
      <c r="E203" s="148" t="s">
        <v>105</v>
      </c>
      <c r="F203" s="214">
        <v>6.6</v>
      </c>
      <c r="G203" s="148" t="s">
        <v>116</v>
      </c>
      <c r="H203" s="191">
        <v>45083</v>
      </c>
      <c r="I203" s="148" t="s">
        <v>522</v>
      </c>
      <c r="J203" s="148" t="s">
        <v>523</v>
      </c>
      <c r="K203" s="148">
        <v>25</v>
      </c>
      <c r="L203" s="148"/>
    </row>
    <row r="204" spans="2:12" x14ac:dyDescent="0.25">
      <c r="B204" s="148" t="s">
        <v>468</v>
      </c>
      <c r="C204" s="148" t="s">
        <v>367</v>
      </c>
      <c r="D204" s="148" t="s">
        <v>104</v>
      </c>
      <c r="E204" s="148" t="s">
        <v>105</v>
      </c>
      <c r="F204" s="214">
        <v>3.3</v>
      </c>
      <c r="G204" s="148" t="s">
        <v>107</v>
      </c>
      <c r="H204" s="191">
        <v>45096</v>
      </c>
      <c r="I204" s="148" t="s">
        <v>522</v>
      </c>
      <c r="J204" s="148" t="s">
        <v>523</v>
      </c>
      <c r="K204" s="148">
        <v>25</v>
      </c>
      <c r="L204" s="148"/>
    </row>
    <row r="205" spans="2:12" x14ac:dyDescent="0.25">
      <c r="B205" s="148" t="s">
        <v>442</v>
      </c>
      <c r="C205" s="148" t="s">
        <v>370</v>
      </c>
      <c r="D205" s="148" t="s">
        <v>183</v>
      </c>
      <c r="E205" s="148" t="s">
        <v>105</v>
      </c>
      <c r="F205" s="214">
        <v>7.8</v>
      </c>
      <c r="G205" s="148" t="s">
        <v>108</v>
      </c>
      <c r="H205" s="191">
        <v>45536</v>
      </c>
      <c r="I205" s="148" t="s">
        <v>520</v>
      </c>
      <c r="J205" s="148" t="s">
        <v>523</v>
      </c>
      <c r="K205" s="148"/>
      <c r="L205" s="148"/>
    </row>
    <row r="206" spans="2:12" x14ac:dyDescent="0.25">
      <c r="B206" s="148" t="s">
        <v>442</v>
      </c>
      <c r="C206" s="148" t="s">
        <v>367</v>
      </c>
      <c r="D206" s="148" t="s">
        <v>104</v>
      </c>
      <c r="E206" s="148" t="s">
        <v>105</v>
      </c>
      <c r="F206" s="214">
        <v>25</v>
      </c>
      <c r="G206" s="148" t="s">
        <v>108</v>
      </c>
      <c r="H206" s="191" t="s">
        <v>490</v>
      </c>
      <c r="I206" s="148" t="s">
        <v>521</v>
      </c>
      <c r="J206" s="148" t="s">
        <v>523</v>
      </c>
      <c r="K206" s="148">
        <v>25</v>
      </c>
      <c r="L206" s="148"/>
    </row>
    <row r="207" spans="2:12" ht="24" hidden="1" x14ac:dyDescent="0.25">
      <c r="B207" s="148" t="s">
        <v>519</v>
      </c>
      <c r="C207" s="148" t="s">
        <v>249</v>
      </c>
      <c r="D207" s="148" t="s">
        <v>183</v>
      </c>
      <c r="E207" s="148" t="s">
        <v>228</v>
      </c>
      <c r="F207" s="214">
        <v>400</v>
      </c>
      <c r="G207" s="148" t="s">
        <v>111</v>
      </c>
      <c r="H207" s="191" t="s">
        <v>450</v>
      </c>
      <c r="I207" s="148">
        <v>2.71</v>
      </c>
      <c r="J207" s="148" t="s">
        <v>142</v>
      </c>
      <c r="K207" s="148">
        <v>25</v>
      </c>
      <c r="L207" s="148"/>
    </row>
    <row r="208" spans="2:12" hidden="1" x14ac:dyDescent="0.25">
      <c r="B208" s="148" t="s">
        <v>561</v>
      </c>
      <c r="C208" s="148" t="s">
        <v>367</v>
      </c>
      <c r="D208" s="148" t="s">
        <v>104</v>
      </c>
      <c r="E208" s="148" t="s">
        <v>228</v>
      </c>
      <c r="F208" s="214">
        <v>237.6</v>
      </c>
      <c r="G208" s="148" t="s">
        <v>108</v>
      </c>
      <c r="H208" s="191" t="s">
        <v>558</v>
      </c>
      <c r="I208" s="148" t="s">
        <v>521</v>
      </c>
      <c r="J208" s="148" t="s">
        <v>523</v>
      </c>
      <c r="K208" s="148">
        <v>25</v>
      </c>
      <c r="L208" s="148"/>
    </row>
    <row r="209" spans="2:12" hidden="1" x14ac:dyDescent="0.25">
      <c r="B209" s="148" t="s">
        <v>561</v>
      </c>
      <c r="C209" s="148" t="s">
        <v>370</v>
      </c>
      <c r="D209" s="148" t="s">
        <v>183</v>
      </c>
      <c r="E209" s="148" t="s">
        <v>228</v>
      </c>
      <c r="F209" s="214">
        <v>200</v>
      </c>
      <c r="G209" s="148" t="s">
        <v>108</v>
      </c>
      <c r="H209" s="191" t="s">
        <v>560</v>
      </c>
      <c r="I209" s="148" t="s">
        <v>521</v>
      </c>
      <c r="J209" s="148" t="s">
        <v>523</v>
      </c>
      <c r="K209" s="148">
        <v>25</v>
      </c>
      <c r="L209" s="148"/>
    </row>
    <row r="210" spans="2:12" hidden="1" x14ac:dyDescent="0.25">
      <c r="B210" s="148" t="s">
        <v>562</v>
      </c>
      <c r="C210" s="148" t="s">
        <v>250</v>
      </c>
      <c r="D210" s="148" t="s">
        <v>603</v>
      </c>
      <c r="E210" s="148" t="s">
        <v>228</v>
      </c>
      <c r="F210" s="214">
        <v>950</v>
      </c>
      <c r="G210" s="148" t="s">
        <v>604</v>
      </c>
      <c r="H210" s="191"/>
      <c r="I210" s="148">
        <v>4.3899999999999997</v>
      </c>
      <c r="J210" s="148" t="s">
        <v>564</v>
      </c>
      <c r="K210" s="148">
        <v>25</v>
      </c>
      <c r="L210" s="148"/>
    </row>
    <row r="211" spans="2:12" ht="24" hidden="1" x14ac:dyDescent="0.25">
      <c r="B211" s="148" t="s">
        <v>565</v>
      </c>
      <c r="C211" s="148" t="s">
        <v>249</v>
      </c>
      <c r="D211" s="148" t="s">
        <v>183</v>
      </c>
      <c r="E211" s="148" t="s">
        <v>228</v>
      </c>
      <c r="F211" s="214">
        <v>300</v>
      </c>
      <c r="G211" s="148" t="s">
        <v>107</v>
      </c>
      <c r="H211" s="191" t="s">
        <v>563</v>
      </c>
      <c r="I211" s="148">
        <v>2.52</v>
      </c>
      <c r="J211" s="148" t="s">
        <v>169</v>
      </c>
      <c r="K211" s="148">
        <v>25</v>
      </c>
      <c r="L211" s="148"/>
    </row>
    <row r="212" spans="2:12" ht="24" hidden="1" x14ac:dyDescent="0.25">
      <c r="B212" s="148" t="s">
        <v>566</v>
      </c>
      <c r="C212" s="148" t="s">
        <v>249</v>
      </c>
      <c r="D212" s="148" t="s">
        <v>183</v>
      </c>
      <c r="E212" s="148" t="s">
        <v>228</v>
      </c>
      <c r="F212" s="214">
        <v>350</v>
      </c>
      <c r="G212" s="148" t="s">
        <v>107</v>
      </c>
      <c r="H212" s="191" t="s">
        <v>563</v>
      </c>
      <c r="I212" s="148">
        <v>2.6</v>
      </c>
      <c r="J212" s="148" t="s">
        <v>169</v>
      </c>
      <c r="K212" s="148">
        <v>25</v>
      </c>
      <c r="L212" s="148"/>
    </row>
    <row r="213" spans="2:12" hidden="1" x14ac:dyDescent="0.25">
      <c r="B213" s="148" t="s">
        <v>605</v>
      </c>
      <c r="C213" s="148" t="s">
        <v>250</v>
      </c>
      <c r="D213" s="148" t="s">
        <v>603</v>
      </c>
      <c r="E213" s="148" t="s">
        <v>444</v>
      </c>
      <c r="F213" s="214">
        <v>600</v>
      </c>
      <c r="G213" s="148" t="s">
        <v>604</v>
      </c>
      <c r="H213" s="191"/>
      <c r="I213" s="148">
        <v>4.37</v>
      </c>
      <c r="J213" s="148" t="s">
        <v>606</v>
      </c>
      <c r="K213" s="148">
        <v>25</v>
      </c>
      <c r="L213" s="148"/>
    </row>
    <row r="214" spans="2:12" hidden="1" x14ac:dyDescent="0.25">
      <c r="B214" s="148" t="s">
        <v>575</v>
      </c>
      <c r="C214" s="148" t="s">
        <v>250</v>
      </c>
      <c r="D214" s="148" t="s">
        <v>603</v>
      </c>
      <c r="E214" s="148" t="s">
        <v>444</v>
      </c>
      <c r="F214" s="214">
        <v>685</v>
      </c>
      <c r="G214" s="148" t="s">
        <v>246</v>
      </c>
      <c r="H214" s="191"/>
      <c r="I214" s="148">
        <v>4.6900000000000004</v>
      </c>
      <c r="J214" s="148" t="s">
        <v>169</v>
      </c>
      <c r="K214" s="148">
        <v>25</v>
      </c>
      <c r="L214" s="148"/>
    </row>
    <row r="215" spans="2:12" hidden="1" x14ac:dyDescent="0.25">
      <c r="B215" s="148" t="s">
        <v>607</v>
      </c>
      <c r="C215" s="148" t="s">
        <v>250</v>
      </c>
      <c r="D215" s="148" t="s">
        <v>603</v>
      </c>
      <c r="E215" s="148" t="s">
        <v>444</v>
      </c>
      <c r="F215" s="214">
        <v>500</v>
      </c>
      <c r="G215" s="148" t="s">
        <v>604</v>
      </c>
      <c r="H215" s="191"/>
      <c r="I215" s="148">
        <v>4.6900000000000004</v>
      </c>
      <c r="J215" s="148" t="s">
        <v>608</v>
      </c>
      <c r="K215" s="148">
        <v>25</v>
      </c>
      <c r="L215" s="148"/>
    </row>
    <row r="216" spans="2:12" hidden="1" x14ac:dyDescent="0.25">
      <c r="B216" s="148" t="s">
        <v>609</v>
      </c>
      <c r="C216" s="148" t="s">
        <v>250</v>
      </c>
      <c r="D216" s="148" t="s">
        <v>603</v>
      </c>
      <c r="E216" s="148" t="s">
        <v>444</v>
      </c>
      <c r="F216" s="214">
        <v>822</v>
      </c>
      <c r="G216" s="148" t="s">
        <v>604</v>
      </c>
      <c r="H216" s="191"/>
      <c r="I216" s="148">
        <v>4.72</v>
      </c>
      <c r="J216" s="148" t="s">
        <v>206</v>
      </c>
      <c r="K216" s="148">
        <v>25</v>
      </c>
      <c r="L216" s="148"/>
    </row>
    <row r="217" spans="2:12" hidden="1" x14ac:dyDescent="0.25">
      <c r="B217" s="148" t="s">
        <v>610</v>
      </c>
      <c r="C217" s="148" t="s">
        <v>250</v>
      </c>
      <c r="D217" s="148" t="s">
        <v>603</v>
      </c>
      <c r="E217" s="148" t="s">
        <v>444</v>
      </c>
      <c r="F217" s="214">
        <v>302</v>
      </c>
      <c r="G217" s="148" t="s">
        <v>604</v>
      </c>
      <c r="H217" s="191"/>
      <c r="I217" s="148">
        <v>4.25</v>
      </c>
      <c r="J217" s="148" t="s">
        <v>564</v>
      </c>
      <c r="K217" s="148">
        <v>25</v>
      </c>
      <c r="L217" s="148"/>
    </row>
    <row r="218" spans="2:12" ht="24" hidden="1" x14ac:dyDescent="0.25">
      <c r="B218" s="148" t="s">
        <v>567</v>
      </c>
      <c r="C218" s="148" t="s">
        <v>249</v>
      </c>
      <c r="D218" s="148" t="s">
        <v>183</v>
      </c>
      <c r="E218" s="148" t="s">
        <v>228</v>
      </c>
      <c r="F218" s="214">
        <v>200</v>
      </c>
      <c r="G218" s="148" t="s">
        <v>111</v>
      </c>
      <c r="H218" s="191" t="s">
        <v>558</v>
      </c>
      <c r="I218" s="148">
        <v>2.69</v>
      </c>
      <c r="J218" s="148" t="s">
        <v>568</v>
      </c>
      <c r="K218" s="148">
        <v>25</v>
      </c>
      <c r="L218" s="148"/>
    </row>
    <row r="219" spans="2:12" ht="24" hidden="1" x14ac:dyDescent="0.25">
      <c r="B219" s="148" t="s">
        <v>611</v>
      </c>
      <c r="C219" s="148" t="s">
        <v>249</v>
      </c>
      <c r="D219" s="148" t="s">
        <v>183</v>
      </c>
      <c r="E219" s="148" t="s">
        <v>228</v>
      </c>
      <c r="F219" s="214">
        <v>300</v>
      </c>
      <c r="G219" s="148" t="s">
        <v>111</v>
      </c>
      <c r="H219" s="191"/>
      <c r="I219" s="148">
        <v>2.56</v>
      </c>
      <c r="J219" s="148" t="s">
        <v>611</v>
      </c>
      <c r="K219" s="148">
        <v>25</v>
      </c>
      <c r="L219" s="148"/>
    </row>
    <row r="220" spans="2:12" x14ac:dyDescent="0.25">
      <c r="B220" s="148" t="s">
        <v>441</v>
      </c>
      <c r="C220" s="148" t="s">
        <v>370</v>
      </c>
      <c r="D220" s="148" t="s">
        <v>183</v>
      </c>
      <c r="E220" s="148" t="s">
        <v>105</v>
      </c>
      <c r="F220" s="214">
        <v>18</v>
      </c>
      <c r="G220" s="148" t="s">
        <v>108</v>
      </c>
      <c r="H220" s="191" t="s">
        <v>598</v>
      </c>
      <c r="I220" s="148" t="s">
        <v>521</v>
      </c>
      <c r="J220" s="148" t="s">
        <v>523</v>
      </c>
      <c r="K220" s="148">
        <v>25</v>
      </c>
      <c r="L220" s="148"/>
    </row>
    <row r="221" spans="2:12" x14ac:dyDescent="0.25">
      <c r="B221" s="148" t="s">
        <v>612</v>
      </c>
      <c r="C221" s="148" t="s">
        <v>463</v>
      </c>
      <c r="D221" s="148" t="s">
        <v>183</v>
      </c>
      <c r="E221" s="148" t="s">
        <v>105</v>
      </c>
      <c r="F221" s="214">
        <v>210</v>
      </c>
      <c r="G221" s="148" t="s">
        <v>111</v>
      </c>
      <c r="H221" s="191" t="s">
        <v>598</v>
      </c>
      <c r="I221" s="148" t="s">
        <v>458</v>
      </c>
      <c r="J221" s="148" t="s">
        <v>462</v>
      </c>
      <c r="K221" s="148"/>
      <c r="L221" s="148"/>
    </row>
    <row r="222" spans="2:12" x14ac:dyDescent="0.25">
      <c r="B222" s="148" t="s">
        <v>468</v>
      </c>
      <c r="C222" s="148" t="s">
        <v>370</v>
      </c>
      <c r="D222" s="148" t="s">
        <v>183</v>
      </c>
      <c r="E222" s="148" t="s">
        <v>105</v>
      </c>
      <c r="F222" s="214">
        <v>4.8</v>
      </c>
      <c r="G222" s="148" t="s">
        <v>107</v>
      </c>
      <c r="H222" s="191" t="s">
        <v>598</v>
      </c>
      <c r="I222" s="148" t="s">
        <v>520</v>
      </c>
      <c r="J222" s="148" t="s">
        <v>523</v>
      </c>
      <c r="K222" s="148">
        <v>25</v>
      </c>
      <c r="L222" s="148"/>
    </row>
    <row r="223" spans="2:12" x14ac:dyDescent="0.25">
      <c r="B223" s="148" t="s">
        <v>468</v>
      </c>
      <c r="C223" s="148" t="s">
        <v>370</v>
      </c>
      <c r="D223" s="148" t="s">
        <v>104</v>
      </c>
      <c r="E223" s="148" t="s">
        <v>105</v>
      </c>
      <c r="F223" s="214">
        <v>6.6</v>
      </c>
      <c r="G223" s="148" t="s">
        <v>107</v>
      </c>
      <c r="H223" s="191" t="s">
        <v>598</v>
      </c>
      <c r="I223" s="148" t="s">
        <v>522</v>
      </c>
      <c r="J223" s="148" t="s">
        <v>523</v>
      </c>
      <c r="K223" s="148">
        <v>25</v>
      </c>
      <c r="L223" s="148"/>
    </row>
    <row r="224" spans="2:12" x14ac:dyDescent="0.25">
      <c r="B224" s="148" t="s">
        <v>468</v>
      </c>
      <c r="C224" s="148" t="s">
        <v>370</v>
      </c>
      <c r="D224" s="148" t="s">
        <v>183</v>
      </c>
      <c r="E224" s="148" t="s">
        <v>105</v>
      </c>
      <c r="F224" s="214">
        <v>5.0599999999999996</v>
      </c>
      <c r="G224" s="148" t="s">
        <v>107</v>
      </c>
      <c r="H224" s="191">
        <v>45096</v>
      </c>
      <c r="I224" s="148" t="s">
        <v>520</v>
      </c>
      <c r="J224" s="148" t="s">
        <v>523</v>
      </c>
      <c r="K224" s="148">
        <v>25</v>
      </c>
      <c r="L224" s="148"/>
    </row>
    <row r="225" spans="2:12" ht="15.75" thickBot="1" x14ac:dyDescent="0.3">
      <c r="B225" s="149" t="s">
        <v>97</v>
      </c>
      <c r="C225" s="150"/>
      <c r="D225" s="150"/>
      <c r="E225" s="150"/>
      <c r="F225" s="252">
        <f>SUBTOTAL(9,F3:F224)</f>
        <v>11139.409999999994</v>
      </c>
      <c r="G225" s="151"/>
      <c r="H225" s="151"/>
      <c r="I225" s="151"/>
      <c r="J225" s="151"/>
      <c r="K225" s="152"/>
      <c r="L225" s="152"/>
    </row>
    <row r="226" spans="2:12" x14ac:dyDescent="0.25">
      <c r="B226"/>
      <c r="C226"/>
      <c r="D226"/>
      <c r="E226"/>
      <c r="F226" s="213"/>
      <c r="G226"/>
      <c r="H226"/>
      <c r="I226"/>
      <c r="J226" s="189"/>
      <c r="L226" s="137"/>
    </row>
    <row r="227" spans="2:12" x14ac:dyDescent="0.25">
      <c r="B227"/>
      <c r="C227"/>
      <c r="D227"/>
      <c r="E227"/>
      <c r="F227"/>
      <c r="G227"/>
      <c r="H227"/>
      <c r="I227"/>
      <c r="J227" s="189"/>
      <c r="L227" s="137"/>
    </row>
    <row r="228" spans="2:12" x14ac:dyDescent="0.25">
      <c r="B228"/>
      <c r="C228"/>
      <c r="D228"/>
      <c r="E228"/>
      <c r="F228"/>
      <c r="G228"/>
      <c r="H228"/>
      <c r="I228"/>
      <c r="J228" s="189"/>
      <c r="L228" s="137"/>
    </row>
    <row r="230" spans="2:12" x14ac:dyDescent="0.25">
      <c r="B230"/>
      <c r="C230"/>
      <c r="D230"/>
      <c r="E230"/>
      <c r="F230"/>
      <c r="G230"/>
      <c r="H230"/>
      <c r="I230"/>
      <c r="J230" s="189"/>
      <c r="L230" s="137"/>
    </row>
    <row r="231" spans="2:12" x14ac:dyDescent="0.25">
      <c r="B231"/>
      <c r="C231"/>
      <c r="D231"/>
      <c r="E231"/>
      <c r="F231"/>
      <c r="G231"/>
      <c r="H231"/>
      <c r="I231"/>
      <c r="L231" s="137"/>
    </row>
    <row r="232" spans="2:12" x14ac:dyDescent="0.25">
      <c r="B232"/>
      <c r="C232"/>
      <c r="D232"/>
      <c r="E232"/>
      <c r="F232"/>
      <c r="G232"/>
      <c r="H232"/>
      <c r="I232"/>
      <c r="L232" s="137"/>
    </row>
    <row r="233" spans="2:12" x14ac:dyDescent="0.25">
      <c r="B233"/>
      <c r="C233"/>
      <c r="D233"/>
      <c r="E233"/>
      <c r="F233"/>
      <c r="G233"/>
      <c r="H233"/>
      <c r="I233"/>
      <c r="L233" s="137"/>
    </row>
    <row r="234" spans="2:12" x14ac:dyDescent="0.25">
      <c r="B234"/>
      <c r="C234"/>
      <c r="D234"/>
      <c r="E234"/>
      <c r="F234"/>
      <c r="G234"/>
      <c r="H234"/>
      <c r="I234"/>
      <c r="L234" s="137"/>
    </row>
    <row r="235" spans="2:12" x14ac:dyDescent="0.25">
      <c r="B235"/>
      <c r="C235"/>
      <c r="D235"/>
      <c r="E235"/>
      <c r="F235"/>
      <c r="G235"/>
      <c r="H235"/>
      <c r="I235"/>
      <c r="L235" s="137"/>
    </row>
    <row r="236" spans="2:12" x14ac:dyDescent="0.25">
      <c r="B236"/>
      <c r="C236"/>
      <c r="D236"/>
      <c r="E236"/>
      <c r="F236"/>
      <c r="G236"/>
      <c r="H236"/>
      <c r="I236"/>
      <c r="L236" s="137"/>
    </row>
    <row r="237" spans="2:12" x14ac:dyDescent="0.25">
      <c r="B237"/>
      <c r="C237"/>
      <c r="D237"/>
      <c r="E237"/>
      <c r="F237"/>
      <c r="G237"/>
      <c r="H237"/>
      <c r="I237"/>
      <c r="L237" s="137"/>
    </row>
    <row r="238" spans="2:12" x14ac:dyDescent="0.25">
      <c r="B238"/>
      <c r="C238"/>
      <c r="D238"/>
      <c r="E238"/>
      <c r="F238"/>
      <c r="G238"/>
      <c r="H238"/>
      <c r="I238"/>
      <c r="L238" s="137"/>
    </row>
    <row r="239" spans="2:12" x14ac:dyDescent="0.25">
      <c r="B239"/>
      <c r="C239"/>
      <c r="D239"/>
      <c r="E239"/>
      <c r="F239"/>
      <c r="G239"/>
      <c r="H239"/>
      <c r="I239"/>
      <c r="L239" s="137"/>
    </row>
    <row r="240" spans="2:12" x14ac:dyDescent="0.25">
      <c r="B240"/>
      <c r="C240"/>
      <c r="D240"/>
      <c r="E240"/>
      <c r="F240"/>
      <c r="G240"/>
      <c r="H240"/>
      <c r="I240"/>
      <c r="L240" s="137"/>
    </row>
    <row r="241" spans="2:12" x14ac:dyDescent="0.25">
      <c r="B241"/>
      <c r="C241"/>
      <c r="D241"/>
      <c r="E241"/>
      <c r="F241"/>
      <c r="G241"/>
      <c r="H241"/>
      <c r="I241"/>
      <c r="L241" s="137"/>
    </row>
    <row r="242" spans="2:12" x14ac:dyDescent="0.25">
      <c r="B242"/>
      <c r="C242"/>
      <c r="D242"/>
      <c r="E242"/>
      <c r="F242"/>
      <c r="G242"/>
      <c r="H242"/>
      <c r="I242"/>
      <c r="J242"/>
      <c r="K242"/>
      <c r="L242" s="137"/>
    </row>
    <row r="243" spans="2:12" x14ac:dyDescent="0.25">
      <c r="B243"/>
      <c r="C243"/>
      <c r="D243"/>
      <c r="E243"/>
      <c r="F243"/>
      <c r="G243"/>
      <c r="H243"/>
      <c r="I243"/>
      <c r="J243"/>
      <c r="K243"/>
      <c r="L243" s="137"/>
    </row>
    <row r="244" spans="2:12" x14ac:dyDescent="0.25">
      <c r="B244"/>
      <c r="C244"/>
      <c r="D244"/>
      <c r="E244"/>
      <c r="F244"/>
      <c r="G244"/>
      <c r="H244"/>
      <c r="I244"/>
      <c r="J244"/>
      <c r="K244"/>
      <c r="L244" s="137"/>
    </row>
  </sheetData>
  <autoFilter ref="B2:L224" xr:uid="{738E5AB3-4D07-4828-9431-774E7B3A67F7}">
    <filterColumn colId="3">
      <filters>
        <filter val="Commissioned"/>
      </filters>
    </filterColumn>
  </autoFilter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FC88770269F048A3AF260B8F8E3D0C" ma:contentTypeVersion="15" ma:contentTypeDescription="Create a new document." ma:contentTypeScope="" ma:versionID="e4904b31886182393ac97a573aade260">
  <xsd:schema xmlns:xsd="http://www.w3.org/2001/XMLSchema" xmlns:xs="http://www.w3.org/2001/XMLSchema" xmlns:p="http://schemas.microsoft.com/office/2006/metadata/properties" xmlns:ns2="14a8f691-2a83-461c-9325-d9c63bb7ddd9" xmlns:ns3="19367801-3fc1-4a73-9094-a8bb82951f01" targetNamespace="http://schemas.microsoft.com/office/2006/metadata/properties" ma:root="true" ma:fieldsID="13552acca80c2fabd530e04f584bd1d2" ns2:_="" ns3:_="">
    <xsd:import namespace="14a8f691-2a83-461c-9325-d9c63bb7ddd9"/>
    <xsd:import namespace="19367801-3fc1-4a73-9094-a8bb82951f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8f691-2a83-461c-9325-d9c63bb7dd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31f192e0-3a42-49d6-8c3d-20be73ae1e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367801-3fc1-4a73-9094-a8bb82951f0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423b772-e9f0-4bf2-bdf5-24b94290f235}" ma:internalName="TaxCatchAll" ma:showField="CatchAllData" ma:web="19367801-3fc1-4a73-9094-a8bb82951f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367801-3fc1-4a73-9094-a8bb82951f01" xsi:nil="true"/>
    <lcf76f155ced4ddcb4097134ff3c332f xmlns="14a8f691-2a83-461c-9325-d9c63bb7ddd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DA2F9A6-7CF0-43FD-809B-FB45A18BA3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a8f691-2a83-461c-9325-d9c63bb7ddd9"/>
    <ds:schemaRef ds:uri="19367801-3fc1-4a73-9094-a8bb82951f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CFB931-08DB-4721-AC1C-411EC1BA68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A9923A-FCF0-4C0A-AB3C-DA2028A85168}">
  <ds:schemaRefs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terms/"/>
    <ds:schemaRef ds:uri="14a8f691-2a83-461c-9325-d9c63bb7ddd9"/>
    <ds:schemaRef ds:uri="http://schemas.openxmlformats.org/package/2006/metadata/core-properties"/>
    <ds:schemaRef ds:uri="http://purl.org/dc/elements/1.1/"/>
    <ds:schemaRef ds:uri="http://purl.org/dc/dcmitype/"/>
    <ds:schemaRef ds:uri="http://www.w3.org/XML/1998/namespace"/>
    <ds:schemaRef ds:uri="19367801-3fc1-4a73-9094-a8bb82951f0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Balance Sheet</vt:lpstr>
      <vt:lpstr>Income Statement</vt:lpstr>
      <vt:lpstr>Cash Flow</vt:lpstr>
      <vt:lpstr>Adj. EBITDA and CFe</vt:lpstr>
      <vt:lpstr>Voting</vt:lpstr>
      <vt:lpstr>Total No of Shares Outstanding</vt:lpstr>
      <vt:lpstr>Project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 Judge</dc:creator>
  <cp:lastModifiedBy>Anav Aggarwal</cp:lastModifiedBy>
  <cp:lastPrinted>2021-12-16T16:15:01Z</cp:lastPrinted>
  <dcterms:created xsi:type="dcterms:W3CDTF">2021-08-18T15:59:40Z</dcterms:created>
  <dcterms:modified xsi:type="dcterms:W3CDTF">2025-08-20T14:13:01Z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0x0101007F89E819F8DF75458CF4B6EA3DD7D54F</vt:lpwstr>
  </property>
  <property fmtid="{D5CDD505-2E9C-101B-9397-08002B2CF9AE}" pid="3" name="MediaServiceImageTags">
    <vt:lpwstr/>
  </property>
</Properties>
</file>